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student\Desktop\тариф 09.2024\"/>
    </mc:Choice>
  </mc:AlternateContent>
  <xr:revisionPtr revIDLastSave="0" documentId="13_ncr:1_{53D0D697-11A1-4BEE-AB28-EFA4198BC3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риф 01.09.2024г." sheetId="6" r:id="rId1"/>
    <sheet name="Айти" sheetId="9" r:id="rId2"/>
    <sheet name="Штат" sheetId="8" r:id="rId3"/>
  </sheets>
  <externalReferences>
    <externalReference r:id="rId4"/>
  </externalReferences>
  <definedNames>
    <definedName name="_xlnm._FilterDatabase" localSheetId="1" hidden="1">Айти!$A$41:$AO$46</definedName>
    <definedName name="_xlnm._FilterDatabase" localSheetId="0" hidden="1">'Тариф 01.09.2024г.'!$A$41:$AO$90</definedName>
    <definedName name="Excel_BuiltIn_Print_Area_7" localSheetId="1">#REF!</definedName>
    <definedName name="Excel_BuiltIn_Print_Area_7">#REF!</definedName>
    <definedName name="БДО" localSheetId="1">#REF!</definedName>
    <definedName name="БДО">#REF!</definedName>
    <definedName name="_xlnm.Print_Area" localSheetId="1">Айти!$A$1:$AX$51</definedName>
    <definedName name="_xlnm.Print_Area" localSheetId="0">'Тариф 01.09.2024г.'!$A$1:$AX$95</definedName>
    <definedName name="_xlnm.Print_Area" localSheetId="2">Штат!$A$1:$AG$57</definedName>
  </definedNames>
  <calcPr calcId="191029"/>
</workbook>
</file>

<file path=xl/calcChain.xml><?xml version="1.0" encoding="utf-8"?>
<calcChain xmlns="http://schemas.openxmlformats.org/spreadsheetml/2006/main">
  <c r="X93" i="6" l="1"/>
  <c r="J52" i="8"/>
  <c r="L52" i="8" s="1"/>
  <c r="O52" i="8" s="1"/>
  <c r="W52" i="8"/>
  <c r="AA52" i="8"/>
  <c r="AC52" i="8"/>
  <c r="AE52" i="8"/>
  <c r="AA49" i="8"/>
  <c r="J49" i="8"/>
  <c r="L49" i="8" s="1"/>
  <c r="O49" i="8" s="1"/>
  <c r="AA47" i="8"/>
  <c r="J47" i="8"/>
  <c r="AC28" i="8"/>
  <c r="AA28" i="8"/>
  <c r="J28" i="8"/>
  <c r="L28" i="8" s="1"/>
  <c r="AW45" i="9"/>
  <c r="AU45" i="9"/>
  <c r="AS45" i="9"/>
  <c r="AQ45" i="9"/>
  <c r="AP45" i="9"/>
  <c r="AM45" i="9"/>
  <c r="AL45" i="9"/>
  <c r="AI45" i="9"/>
  <c r="AH45" i="9"/>
  <c r="AG45" i="9"/>
  <c r="AE45" i="9"/>
  <c r="Q45" i="9"/>
  <c r="P45" i="9"/>
  <c r="O45" i="9"/>
  <c r="N45" i="9"/>
  <c r="M45" i="9"/>
  <c r="AV44" i="9"/>
  <c r="AT44" i="9"/>
  <c r="AR44" i="9"/>
  <c r="AO44" i="9"/>
  <c r="AN44" i="9"/>
  <c r="AK44" i="9"/>
  <c r="AJ44" i="9"/>
  <c r="Z44" i="9"/>
  <c r="AA44" i="9" s="1"/>
  <c r="R44" i="9"/>
  <c r="I44" i="9"/>
  <c r="AV43" i="9"/>
  <c r="AT43" i="9"/>
  <c r="AR43" i="9"/>
  <c r="AO43" i="9"/>
  <c r="AN43" i="9"/>
  <c r="AK43" i="9"/>
  <c r="AJ43" i="9"/>
  <c r="Z43" i="9"/>
  <c r="AA43" i="9" s="1"/>
  <c r="R43" i="9"/>
  <c r="I43" i="9"/>
  <c r="AR32" i="9"/>
  <c r="AQ32" i="9"/>
  <c r="AP32" i="9"/>
  <c r="AS24" i="9"/>
  <c r="AS19" i="9"/>
  <c r="AS18" i="9"/>
  <c r="AS17" i="9"/>
  <c r="AS16" i="9"/>
  <c r="AR11" i="9"/>
  <c r="AR6" i="9" s="1"/>
  <c r="AQ11" i="9"/>
  <c r="AQ6" i="9" s="1"/>
  <c r="AP11" i="9"/>
  <c r="AP6" i="9" s="1"/>
  <c r="AS10" i="9"/>
  <c r="AS9" i="9"/>
  <c r="AS4" i="9"/>
  <c r="AS3" i="9"/>
  <c r="I62" i="6"/>
  <c r="J62" i="6" s="1"/>
  <c r="R62" i="6"/>
  <c r="AB62" i="6" s="1"/>
  <c r="AK62" i="6"/>
  <c r="AV62" i="6"/>
  <c r="AS17" i="6"/>
  <c r="AS18" i="6"/>
  <c r="AT45" i="9" l="1"/>
  <c r="AF52" i="8"/>
  <c r="AG52" i="8" s="1"/>
  <c r="AE49" i="8"/>
  <c r="AF49" i="8" s="1"/>
  <c r="AG49" i="8" s="1"/>
  <c r="L47" i="8"/>
  <c r="O47" i="8" s="1"/>
  <c r="N28" i="8"/>
  <c r="O28" i="8" s="1"/>
  <c r="AR45" i="9"/>
  <c r="AK45" i="9"/>
  <c r="AS32" i="9"/>
  <c r="AV45" i="9"/>
  <c r="AJ45" i="9"/>
  <c r="AS6" i="9"/>
  <c r="AN45" i="9"/>
  <c r="AO45" i="9"/>
  <c r="Z45" i="9"/>
  <c r="AA45" i="9"/>
  <c r="I45" i="9"/>
  <c r="AS11" i="9"/>
  <c r="J44" i="9"/>
  <c r="L44" i="9" s="1"/>
  <c r="R45" i="9"/>
  <c r="J43" i="9"/>
  <c r="AD62" i="6"/>
  <c r="L62" i="6"/>
  <c r="K62" i="6"/>
  <c r="J27" i="8"/>
  <c r="L27" i="8" s="1"/>
  <c r="N27" i="8" s="1"/>
  <c r="AC27" i="8"/>
  <c r="J26" i="8"/>
  <c r="L26" i="8" s="1"/>
  <c r="N26" i="8" s="1"/>
  <c r="O26" i="8" s="1"/>
  <c r="AC26" i="8"/>
  <c r="AA27" i="8"/>
  <c r="AA26" i="8"/>
  <c r="J23" i="8"/>
  <c r="L23" i="8" s="1"/>
  <c r="AV87" i="6"/>
  <c r="Z87" i="6"/>
  <c r="AA87" i="6" s="1"/>
  <c r="R87" i="6"/>
  <c r="AD87" i="6" s="1"/>
  <c r="I87" i="6"/>
  <c r="Z78" i="6"/>
  <c r="AA78" i="6" s="1"/>
  <c r="R78" i="6"/>
  <c r="AD78" i="6" s="1"/>
  <c r="I78" i="6"/>
  <c r="J78" i="6" s="1"/>
  <c r="AJ86" i="6"/>
  <c r="R86" i="6"/>
  <c r="AB86" i="6" s="1"/>
  <c r="I86" i="6"/>
  <c r="J86" i="6" s="1"/>
  <c r="L86" i="6" s="1"/>
  <c r="AO85" i="6"/>
  <c r="AN85" i="6"/>
  <c r="AJ85" i="6"/>
  <c r="R85" i="6"/>
  <c r="AB85" i="6" s="1"/>
  <c r="I85" i="6"/>
  <c r="J85" i="6" s="1"/>
  <c r="L85" i="6" s="1"/>
  <c r="W85" i="6" s="1"/>
  <c r="R80" i="6"/>
  <c r="AB80" i="6" s="1"/>
  <c r="I80" i="6"/>
  <c r="J80" i="6" s="1"/>
  <c r="L80" i="6" s="1"/>
  <c r="V80" i="6" s="1"/>
  <c r="R71" i="6"/>
  <c r="AD71" i="6" s="1"/>
  <c r="I71" i="6"/>
  <c r="J71" i="6" s="1"/>
  <c r="R69" i="6"/>
  <c r="I69" i="6"/>
  <c r="J69" i="6" s="1"/>
  <c r="L69" i="6" s="1"/>
  <c r="W69" i="6" s="1"/>
  <c r="AK66" i="6"/>
  <c r="AK61" i="6"/>
  <c r="AJ59" i="6"/>
  <c r="AK59" i="6"/>
  <c r="AN59" i="6"/>
  <c r="AO59" i="6"/>
  <c r="AR59" i="6"/>
  <c r="AT59" i="6"/>
  <c r="AV59" i="6"/>
  <c r="AJ56" i="6"/>
  <c r="AK56" i="6"/>
  <c r="AN56" i="6"/>
  <c r="AO56" i="6"/>
  <c r="AR56" i="6"/>
  <c r="AT56" i="6"/>
  <c r="AV56" i="6"/>
  <c r="Z56" i="6"/>
  <c r="AA56" i="6" s="1"/>
  <c r="R56" i="6"/>
  <c r="AB56" i="6" s="1"/>
  <c r="I56" i="6"/>
  <c r="J56" i="6" s="1"/>
  <c r="L56" i="6" s="1"/>
  <c r="U56" i="6" s="1"/>
  <c r="AV84" i="6"/>
  <c r="AT84" i="6"/>
  <c r="AR84" i="6"/>
  <c r="AO84" i="6"/>
  <c r="AN84" i="6"/>
  <c r="AK84" i="6"/>
  <c r="AJ84" i="6"/>
  <c r="Z84" i="6"/>
  <c r="AA84" i="6" s="1"/>
  <c r="R84" i="6"/>
  <c r="AD84" i="6" s="1"/>
  <c r="I84" i="6"/>
  <c r="J84" i="6" s="1"/>
  <c r="L84" i="6" s="1"/>
  <c r="AS10" i="6"/>
  <c r="AS9" i="6"/>
  <c r="AP32" i="6"/>
  <c r="AQ32" i="6"/>
  <c r="AR32" i="6"/>
  <c r="I54" i="8"/>
  <c r="K54" i="8"/>
  <c r="M54" i="8"/>
  <c r="P54" i="8"/>
  <c r="R54" i="8"/>
  <c r="T54" i="8"/>
  <c r="V54" i="8"/>
  <c r="X54" i="8"/>
  <c r="Z54" i="8"/>
  <c r="AB54" i="8"/>
  <c r="AD54" i="8"/>
  <c r="AB78" i="6" l="1"/>
  <c r="AF47" i="8"/>
  <c r="AG47" i="8" s="1"/>
  <c r="AF26" i="8"/>
  <c r="AG26" i="8" s="1"/>
  <c r="AE28" i="8"/>
  <c r="AF28" i="8" s="1"/>
  <c r="AG28" i="8" s="1"/>
  <c r="J45" i="9"/>
  <c r="AD45" i="9"/>
  <c r="W44" i="9"/>
  <c r="V44" i="9"/>
  <c r="U44" i="9"/>
  <c r="T44" i="9"/>
  <c r="AF44" i="9"/>
  <c r="S44" i="9"/>
  <c r="AC44" i="9"/>
  <c r="K44" i="9"/>
  <c r="AB45" i="9"/>
  <c r="K43" i="9"/>
  <c r="L43" i="9"/>
  <c r="AC62" i="6"/>
  <c r="AF62" i="6"/>
  <c r="W62" i="6"/>
  <c r="S62" i="6"/>
  <c r="T62" i="6"/>
  <c r="U62" i="6"/>
  <c r="V62" i="6"/>
  <c r="O27" i="8"/>
  <c r="AF27" i="8" s="1"/>
  <c r="AG27" i="8" s="1"/>
  <c r="N23" i="8"/>
  <c r="O23" i="8" s="1"/>
  <c r="AF23" i="8" s="1"/>
  <c r="AG23" i="8" s="1"/>
  <c r="AB87" i="6"/>
  <c r="U86" i="6"/>
  <c r="J87" i="6"/>
  <c r="K87" i="6" s="1"/>
  <c r="AC86" i="6"/>
  <c r="AD86" i="6"/>
  <c r="AF86" i="6" s="1"/>
  <c r="L78" i="6"/>
  <c r="K78" i="6"/>
  <c r="AC56" i="6"/>
  <c r="W86" i="6"/>
  <c r="S86" i="6"/>
  <c r="T86" i="6"/>
  <c r="V86" i="6"/>
  <c r="K86" i="6"/>
  <c r="AC85" i="6"/>
  <c r="AD85" i="6"/>
  <c r="AF85" i="6" s="1"/>
  <c r="U85" i="6"/>
  <c r="S85" i="6"/>
  <c r="T85" i="6"/>
  <c r="V85" i="6"/>
  <c r="K85" i="6"/>
  <c r="AD80" i="6"/>
  <c r="AF80" i="6" s="1"/>
  <c r="AC80" i="6"/>
  <c r="U80" i="6"/>
  <c r="T80" i="6"/>
  <c r="W80" i="6"/>
  <c r="S80" i="6"/>
  <c r="K80" i="6"/>
  <c r="L71" i="6"/>
  <c r="AF71" i="6" s="1"/>
  <c r="K71" i="6"/>
  <c r="U69" i="6"/>
  <c r="S69" i="6"/>
  <c r="T69" i="6"/>
  <c r="V69" i="6"/>
  <c r="K69" i="6"/>
  <c r="W56" i="6"/>
  <c r="V56" i="6"/>
  <c r="AD56" i="6"/>
  <c r="AF56" i="6" s="1"/>
  <c r="S56" i="6"/>
  <c r="T56" i="6"/>
  <c r="K56" i="6"/>
  <c r="K84" i="6"/>
  <c r="AF84" i="6"/>
  <c r="W84" i="6"/>
  <c r="S84" i="6"/>
  <c r="V84" i="6"/>
  <c r="U84" i="6"/>
  <c r="T84" i="6"/>
  <c r="AB84" i="6"/>
  <c r="AC84" i="6" s="1"/>
  <c r="R66" i="6"/>
  <c r="AD66" i="6" s="1"/>
  <c r="I66" i="6"/>
  <c r="J66" i="6" s="1"/>
  <c r="R64" i="6"/>
  <c r="AB64" i="6" s="1"/>
  <c r="I64" i="6"/>
  <c r="J64" i="6" s="1"/>
  <c r="AV61" i="6"/>
  <c r="R61" i="6"/>
  <c r="AB61" i="6" s="1"/>
  <c r="I61" i="6"/>
  <c r="J61" i="6" s="1"/>
  <c r="R59" i="6"/>
  <c r="AD59" i="6" s="1"/>
  <c r="I59" i="6"/>
  <c r="J59" i="6" s="1"/>
  <c r="R49" i="6"/>
  <c r="AD49" i="6" s="1"/>
  <c r="I49" i="6"/>
  <c r="J49" i="6" s="1"/>
  <c r="Z46" i="6"/>
  <c r="AA46" i="6" s="1"/>
  <c r="R46" i="6"/>
  <c r="AB46" i="6" s="1"/>
  <c r="I46" i="6"/>
  <c r="J46" i="6" s="1"/>
  <c r="K45" i="9" l="1"/>
  <c r="X44" i="9"/>
  <c r="AX44" i="9" s="1"/>
  <c r="T43" i="9"/>
  <c r="AF43" i="9"/>
  <c r="S43" i="9"/>
  <c r="AC43" i="9"/>
  <c r="W43" i="9"/>
  <c r="U43" i="9"/>
  <c r="V43" i="9"/>
  <c r="L45" i="9"/>
  <c r="X62" i="6"/>
  <c r="L87" i="6"/>
  <c r="AC87" i="6" s="1"/>
  <c r="S78" i="6"/>
  <c r="X78" i="6" s="1"/>
  <c r="AF78" i="6"/>
  <c r="T71" i="6"/>
  <c r="AC78" i="6"/>
  <c r="X85" i="6"/>
  <c r="X86" i="6"/>
  <c r="X80" i="6"/>
  <c r="V71" i="6"/>
  <c r="S71" i="6"/>
  <c r="U71" i="6"/>
  <c r="W71" i="6"/>
  <c r="X69" i="6"/>
  <c r="X56" i="6"/>
  <c r="X84" i="6"/>
  <c r="AD46" i="6"/>
  <c r="AB59" i="6"/>
  <c r="AB66" i="6"/>
  <c r="L66" i="6"/>
  <c r="K66" i="6"/>
  <c r="AD64" i="6"/>
  <c r="L64" i="6"/>
  <c r="K64" i="6"/>
  <c r="AD61" i="6"/>
  <c r="L61" i="6"/>
  <c r="K61" i="6"/>
  <c r="L59" i="6"/>
  <c r="AF59" i="6" s="1"/>
  <c r="K59" i="6"/>
  <c r="AB49" i="6"/>
  <c r="L49" i="6"/>
  <c r="K49" i="6"/>
  <c r="L46" i="6"/>
  <c r="K46" i="6"/>
  <c r="AV88" i="6"/>
  <c r="AT88" i="6"/>
  <c r="AR88" i="6"/>
  <c r="AO88" i="6"/>
  <c r="AN88" i="6"/>
  <c r="AJ88" i="6"/>
  <c r="AK88" i="6"/>
  <c r="AA88" i="6"/>
  <c r="R88" i="6"/>
  <c r="AD88" i="6" s="1"/>
  <c r="AE89" i="6"/>
  <c r="AG89" i="6"/>
  <c r="AH89" i="6"/>
  <c r="AI89" i="6"/>
  <c r="AL89" i="6"/>
  <c r="AM89" i="6"/>
  <c r="AP89" i="6"/>
  <c r="AQ89" i="6"/>
  <c r="AS89" i="6"/>
  <c r="AU89" i="6"/>
  <c r="AW89" i="6"/>
  <c r="M89" i="6"/>
  <c r="N89" i="6"/>
  <c r="O89" i="6"/>
  <c r="P89" i="6"/>
  <c r="Q89" i="6"/>
  <c r="I88" i="6"/>
  <c r="J88" i="6" s="1"/>
  <c r="K88" i="6" s="1"/>
  <c r="AQ11" i="6"/>
  <c r="AQ6" i="6" s="1"/>
  <c r="AR11" i="6"/>
  <c r="AR6" i="6" s="1"/>
  <c r="R44" i="6"/>
  <c r="R45" i="6"/>
  <c r="R47" i="6"/>
  <c r="R48" i="6"/>
  <c r="R50" i="6"/>
  <c r="R51" i="6"/>
  <c r="R52" i="6"/>
  <c r="R53" i="6"/>
  <c r="R54" i="6"/>
  <c r="R55" i="6"/>
  <c r="R57" i="6"/>
  <c r="R58" i="6"/>
  <c r="R60" i="6"/>
  <c r="R63" i="6"/>
  <c r="R65" i="6"/>
  <c r="R67" i="6"/>
  <c r="R68" i="6"/>
  <c r="R70" i="6"/>
  <c r="R72" i="6"/>
  <c r="R73" i="6"/>
  <c r="R74" i="6"/>
  <c r="R75" i="6"/>
  <c r="R76" i="6"/>
  <c r="R77" i="6"/>
  <c r="R79" i="6"/>
  <c r="R81" i="6"/>
  <c r="R82" i="6"/>
  <c r="R83" i="6"/>
  <c r="R43" i="6"/>
  <c r="Y80" i="6" l="1"/>
  <c r="AX80" i="6" s="1"/>
  <c r="Y56" i="6"/>
  <c r="AX56" i="6"/>
  <c r="Y85" i="6"/>
  <c r="AX85" i="6"/>
  <c r="V87" i="6"/>
  <c r="W87" i="6"/>
  <c r="S87" i="6"/>
  <c r="AF87" i="6"/>
  <c r="T87" i="6"/>
  <c r="U87" i="6"/>
  <c r="V45" i="9"/>
  <c r="U45" i="9"/>
  <c r="W45" i="9"/>
  <c r="AC45" i="9"/>
  <c r="X43" i="9"/>
  <c r="AX43" i="9" s="1"/>
  <c r="S45" i="9"/>
  <c r="AF45" i="9"/>
  <c r="T45" i="9"/>
  <c r="Y62" i="6"/>
  <c r="AX62" i="6" s="1"/>
  <c r="Y78" i="6"/>
  <c r="AX78" i="6" s="1"/>
  <c r="Y86" i="6"/>
  <c r="AX86" i="6" s="1"/>
  <c r="X71" i="6"/>
  <c r="Y69" i="6"/>
  <c r="AX69" i="6" s="1"/>
  <c r="W64" i="6"/>
  <c r="U64" i="6"/>
  <c r="AC61" i="6"/>
  <c r="U61" i="6"/>
  <c r="Y84" i="6"/>
  <c r="AX84" i="6" s="1"/>
  <c r="AF46" i="6"/>
  <c r="AF66" i="6"/>
  <c r="U66" i="6"/>
  <c r="S66" i="6"/>
  <c r="AC66" i="6"/>
  <c r="V66" i="6"/>
  <c r="T66" i="6"/>
  <c r="AC64" i="6"/>
  <c r="V64" i="6"/>
  <c r="T64" i="6"/>
  <c r="AF61" i="6"/>
  <c r="W61" i="6"/>
  <c r="T61" i="6"/>
  <c r="V61" i="6"/>
  <c r="S61" i="6"/>
  <c r="V59" i="6"/>
  <c r="W59" i="6"/>
  <c r="S59" i="6"/>
  <c r="T59" i="6"/>
  <c r="U59" i="6"/>
  <c r="AC59" i="6"/>
  <c r="AC46" i="6"/>
  <c r="AC49" i="6"/>
  <c r="AF49" i="6"/>
  <c r="U49" i="6"/>
  <c r="W49" i="6"/>
  <c r="T49" i="6"/>
  <c r="V49" i="6"/>
  <c r="S49" i="6"/>
  <c r="S46" i="6"/>
  <c r="W46" i="6"/>
  <c r="U46" i="6"/>
  <c r="V46" i="6"/>
  <c r="T46" i="6"/>
  <c r="AB88" i="6"/>
  <c r="L88" i="6"/>
  <c r="R89" i="6"/>
  <c r="W53" i="8"/>
  <c r="J53" i="8"/>
  <c r="L53" i="8" s="1"/>
  <c r="O53" i="8" s="1"/>
  <c r="J48" i="8"/>
  <c r="N48" i="8" s="1"/>
  <c r="AA48" i="8"/>
  <c r="J45" i="8"/>
  <c r="N45" i="8" s="1"/>
  <c r="AA45" i="8"/>
  <c r="X87" i="6" l="1"/>
  <c r="Y71" i="6"/>
  <c r="AX71" i="6" s="1"/>
  <c r="X45" i="9"/>
  <c r="Y87" i="6"/>
  <c r="AX87" i="6" s="1"/>
  <c r="AE53" i="8"/>
  <c r="AF53" i="8" s="1"/>
  <c r="AG53" i="8" s="1"/>
  <c r="X66" i="6"/>
  <c r="X64" i="6"/>
  <c r="X61" i="6"/>
  <c r="X59" i="6"/>
  <c r="X46" i="6"/>
  <c r="X49" i="6"/>
  <c r="AF88" i="6"/>
  <c r="T88" i="6"/>
  <c r="V88" i="6"/>
  <c r="W88" i="6"/>
  <c r="S88" i="6"/>
  <c r="U88" i="6"/>
  <c r="AC88" i="6"/>
  <c r="L48" i="8"/>
  <c r="O48" i="8" s="1"/>
  <c r="L45" i="8"/>
  <c r="O45" i="8" s="1"/>
  <c r="AE48" i="8"/>
  <c r="AF48" i="8" s="1"/>
  <c r="AE45" i="8"/>
  <c r="AF45" i="8" s="1"/>
  <c r="J29" i="8"/>
  <c r="L29" i="8" s="1"/>
  <c r="AA29" i="8"/>
  <c r="AC29" i="8"/>
  <c r="Y64" i="6" l="1"/>
  <c r="AX64" i="6" s="1"/>
  <c r="Y46" i="6"/>
  <c r="AX46" i="6" s="1"/>
  <c r="Y45" i="9"/>
  <c r="AX45" i="9"/>
  <c r="Y59" i="6"/>
  <c r="AX59" i="6" s="1"/>
  <c r="AG48" i="8"/>
  <c r="Y66" i="6"/>
  <c r="AX66" i="6" s="1"/>
  <c r="Y61" i="6"/>
  <c r="AX61" i="6" s="1"/>
  <c r="Y49" i="6"/>
  <c r="AX49" i="6" s="1"/>
  <c r="X88" i="6"/>
  <c r="AG45" i="8"/>
  <c r="O29" i="8"/>
  <c r="AE29" i="8" s="1"/>
  <c r="AF29" i="8" s="1"/>
  <c r="AG29" i="8" s="1"/>
  <c r="AC51" i="8"/>
  <c r="AA51" i="8"/>
  <c r="W51" i="8"/>
  <c r="J51" i="8"/>
  <c r="AE51" i="8" s="1"/>
  <c r="AC50" i="8"/>
  <c r="AA50" i="8"/>
  <c r="W50" i="8"/>
  <c r="J50" i="8"/>
  <c r="AE50" i="8" s="1"/>
  <c r="AA46" i="8"/>
  <c r="Y46" i="8"/>
  <c r="J46" i="8"/>
  <c r="Y88" i="6" l="1"/>
  <c r="AX88" i="6" s="1"/>
  <c r="AF51" i="8"/>
  <c r="L51" i="8"/>
  <c r="O51" i="8" s="1"/>
  <c r="AF50" i="8"/>
  <c r="L50" i="8"/>
  <c r="O50" i="8" s="1"/>
  <c r="L46" i="8"/>
  <c r="N46" i="8" s="1"/>
  <c r="AC44" i="8"/>
  <c r="AA44" i="8"/>
  <c r="Y44" i="8"/>
  <c r="W44" i="8"/>
  <c r="J44" i="8"/>
  <c r="AE44" i="8" s="1"/>
  <c r="J35" i="8"/>
  <c r="L35" i="8" s="1"/>
  <c r="S35" i="8"/>
  <c r="U35" i="8"/>
  <c r="W35" i="8"/>
  <c r="Y35" i="8"/>
  <c r="AA35" i="8"/>
  <c r="AC35" i="8"/>
  <c r="J36" i="8"/>
  <c r="L36" i="8" s="1"/>
  <c r="S36" i="8"/>
  <c r="U36" i="8"/>
  <c r="W36" i="8"/>
  <c r="Y36" i="8"/>
  <c r="AA36" i="8"/>
  <c r="AC36" i="8"/>
  <c r="J37" i="8"/>
  <c r="L37" i="8" s="1"/>
  <c r="S37" i="8"/>
  <c r="U37" i="8"/>
  <c r="W37" i="8"/>
  <c r="Y37" i="8"/>
  <c r="AA37" i="8"/>
  <c r="AC37" i="8"/>
  <c r="J38" i="8"/>
  <c r="L38" i="8" s="1"/>
  <c r="S38" i="8"/>
  <c r="U38" i="8"/>
  <c r="W38" i="8"/>
  <c r="Y38" i="8"/>
  <c r="AA38" i="8"/>
  <c r="AC38" i="8"/>
  <c r="AA43" i="8"/>
  <c r="Y43" i="8"/>
  <c r="J43" i="8"/>
  <c r="AA42" i="8"/>
  <c r="J42" i="8"/>
  <c r="AE46" i="8" l="1"/>
  <c r="AF46" i="8" s="1"/>
  <c r="AG50" i="8"/>
  <c r="AG51" i="8"/>
  <c r="AF44" i="8"/>
  <c r="L44" i="8"/>
  <c r="O46" i="8"/>
  <c r="N44" i="8"/>
  <c r="AE38" i="8"/>
  <c r="AF38" i="8" s="1"/>
  <c r="N38" i="8"/>
  <c r="O38" i="8" s="1"/>
  <c r="AE37" i="8"/>
  <c r="AF37" i="8" s="1"/>
  <c r="N37" i="8"/>
  <c r="O37" i="8" s="1"/>
  <c r="AE36" i="8"/>
  <c r="AF36" i="8" s="1"/>
  <c r="N36" i="8"/>
  <c r="O36" i="8" s="1"/>
  <c r="AE35" i="8"/>
  <c r="AF35" i="8" s="1"/>
  <c r="N35" i="8"/>
  <c r="O35" i="8" s="1"/>
  <c r="L43" i="8"/>
  <c r="N43" i="8" s="1"/>
  <c r="L42" i="8"/>
  <c r="O42" i="8" s="1"/>
  <c r="O43" i="8" l="1"/>
  <c r="AG46" i="8"/>
  <c r="AE43" i="8"/>
  <c r="AF43" i="8" s="1"/>
  <c r="O44" i="8"/>
  <c r="AG44" i="8" s="1"/>
  <c r="AG37" i="8"/>
  <c r="AG38" i="8"/>
  <c r="AG35" i="8"/>
  <c r="AG36" i="8"/>
  <c r="AF42" i="8"/>
  <c r="AG42" i="8" s="1"/>
  <c r="AG43" i="8" l="1"/>
  <c r="I81" i="6"/>
  <c r="J81" i="6" l="1"/>
  <c r="L81" i="6" s="1"/>
  <c r="W81" i="6" s="1"/>
  <c r="K81" i="6" l="1"/>
  <c r="AV44" i="6"/>
  <c r="AV45" i="6"/>
  <c r="AV47" i="6"/>
  <c r="AV48" i="6"/>
  <c r="AV50" i="6"/>
  <c r="AV51" i="6"/>
  <c r="AV52" i="6"/>
  <c r="AV53" i="6"/>
  <c r="AV54" i="6"/>
  <c r="AV55" i="6"/>
  <c r="AV57" i="6"/>
  <c r="AV58" i="6"/>
  <c r="AV60" i="6"/>
  <c r="AV63" i="6"/>
  <c r="AV65" i="6"/>
  <c r="AV67" i="6"/>
  <c r="AV68" i="6"/>
  <c r="AV70" i="6"/>
  <c r="AV72" i="6"/>
  <c r="AV73" i="6"/>
  <c r="AV74" i="6"/>
  <c r="AV75" i="6"/>
  <c r="AV76" i="6"/>
  <c r="AV77" i="6"/>
  <c r="AV79" i="6"/>
  <c r="AV81" i="6"/>
  <c r="AV82" i="6"/>
  <c r="AV83" i="6"/>
  <c r="AV43" i="6"/>
  <c r="AP11" i="6"/>
  <c r="AS19" i="6"/>
  <c r="AS24" i="6"/>
  <c r="AS11" i="6" l="1"/>
  <c r="AP6" i="6"/>
  <c r="AS6" i="6" s="1"/>
  <c r="AV89" i="6"/>
  <c r="AC30" i="8"/>
  <c r="AA30" i="8"/>
  <c r="Y30" i="8"/>
  <c r="W30" i="8"/>
  <c r="J30" i="8"/>
  <c r="N30" i="8" s="1"/>
  <c r="L30" i="8" l="1"/>
  <c r="O30" i="8" s="1"/>
  <c r="AF30" i="8"/>
  <c r="Z83" i="6"/>
  <c r="AA83" i="6" s="1"/>
  <c r="AJ83" i="6"/>
  <c r="AK83" i="6"/>
  <c r="AN83" i="6"/>
  <c r="AO83" i="6"/>
  <c r="AR83" i="6"/>
  <c r="AT83" i="6"/>
  <c r="I83" i="6"/>
  <c r="J83" i="6" s="1"/>
  <c r="K83" i="6" s="1"/>
  <c r="AG30" i="8" l="1"/>
  <c r="AB83" i="6"/>
  <c r="L83" i="6"/>
  <c r="W83" i="6" s="1"/>
  <c r="U83" i="6" l="1"/>
  <c r="AC83" i="6"/>
  <c r="V83" i="6"/>
  <c r="AF83" i="6"/>
  <c r="S83" i="6"/>
  <c r="T83" i="6"/>
  <c r="X83" i="6" l="1"/>
  <c r="Y83" i="6" l="1"/>
  <c r="AX83" i="6"/>
  <c r="J33" i="8"/>
  <c r="AE33" i="8" s="1"/>
  <c r="S33" i="8"/>
  <c r="U33" i="8"/>
  <c r="W33" i="8"/>
  <c r="Y33" i="8"/>
  <c r="AA33" i="8"/>
  <c r="AC33" i="8"/>
  <c r="AA31" i="8"/>
  <c r="AA32" i="8"/>
  <c r="AA34" i="8"/>
  <c r="AA39" i="8"/>
  <c r="AA40" i="8"/>
  <c r="AA41" i="8"/>
  <c r="L33" i="8" l="1"/>
  <c r="N33" i="8"/>
  <c r="AF33" i="8"/>
  <c r="AA67" i="6"/>
  <c r="AA79" i="6"/>
  <c r="Z48" i="6"/>
  <c r="AA48" i="6" s="1"/>
  <c r="Z50" i="6"/>
  <c r="AA50" i="6" s="1"/>
  <c r="Z51" i="6"/>
  <c r="AA51" i="6" s="1"/>
  <c r="Z52" i="6"/>
  <c r="AA52" i="6" s="1"/>
  <c r="Z53" i="6"/>
  <c r="AA53" i="6" s="1"/>
  <c r="Z54" i="6"/>
  <c r="AA54" i="6" s="1"/>
  <c r="Z55" i="6"/>
  <c r="AA55" i="6" s="1"/>
  <c r="Z57" i="6"/>
  <c r="AA57" i="6" s="1"/>
  <c r="Z58" i="6"/>
  <c r="AA58" i="6" s="1"/>
  <c r="Z60" i="6"/>
  <c r="AA60" i="6" s="1"/>
  <c r="Z63" i="6"/>
  <c r="AA63" i="6" s="1"/>
  <c r="Z65" i="6"/>
  <c r="AA65" i="6" s="1"/>
  <c r="Z68" i="6"/>
  <c r="AA68" i="6" s="1"/>
  <c r="Z70" i="6"/>
  <c r="AA70" i="6" s="1"/>
  <c r="Z72" i="6"/>
  <c r="AA72" i="6" s="1"/>
  <c r="Z73" i="6"/>
  <c r="AA73" i="6" s="1"/>
  <c r="Z74" i="6"/>
  <c r="AA74" i="6" s="1"/>
  <c r="Z75" i="6"/>
  <c r="AA75" i="6" s="1"/>
  <c r="Z76" i="6"/>
  <c r="AA76" i="6" s="1"/>
  <c r="Z77" i="6"/>
  <c r="AA77" i="6" s="1"/>
  <c r="Z81" i="6"/>
  <c r="AA81" i="6" s="1"/>
  <c r="Z82" i="6"/>
  <c r="AA82" i="6" s="1"/>
  <c r="Z43" i="6"/>
  <c r="Z44" i="6"/>
  <c r="Z45" i="6"/>
  <c r="AA45" i="6" s="1"/>
  <c r="AN50" i="6"/>
  <c r="AC40" i="8"/>
  <c r="AC41" i="8"/>
  <c r="W39" i="8"/>
  <c r="W40" i="8"/>
  <c r="W41" i="8"/>
  <c r="J40" i="8"/>
  <c r="AE40" i="8" s="1"/>
  <c r="J41" i="8"/>
  <c r="L41" i="8" s="1"/>
  <c r="AA44" i="6" l="1"/>
  <c r="O33" i="8"/>
  <c r="AG33" i="8" s="1"/>
  <c r="AA43" i="6"/>
  <c r="AF40" i="8"/>
  <c r="L40" i="8"/>
  <c r="O40" i="8" s="1"/>
  <c r="O41" i="8"/>
  <c r="AE41" i="8"/>
  <c r="AF41" i="8" s="1"/>
  <c r="AG40" i="8" l="1"/>
  <c r="AG41" i="8"/>
  <c r="AJ79" i="6" l="1"/>
  <c r="AK79" i="6"/>
  <c r="AN79" i="6"/>
  <c r="AO79" i="6"/>
  <c r="AR79" i="6"/>
  <c r="AT79" i="6"/>
  <c r="AB51" i="6"/>
  <c r="I51" i="6"/>
  <c r="J51" i="6" l="1"/>
  <c r="L51" i="6" s="1"/>
  <c r="AD51" i="6"/>
  <c r="AB79" i="6"/>
  <c r="I79" i="6"/>
  <c r="I44" i="6"/>
  <c r="I45" i="6"/>
  <c r="I47" i="6"/>
  <c r="I48" i="6"/>
  <c r="I50" i="6"/>
  <c r="I52" i="6"/>
  <c r="I53" i="6"/>
  <c r="I54" i="6"/>
  <c r="I55" i="6"/>
  <c r="I57" i="6"/>
  <c r="I58" i="6"/>
  <c r="I60" i="6"/>
  <c r="I63" i="6"/>
  <c r="I65" i="6"/>
  <c r="I67" i="6"/>
  <c r="I68" i="6"/>
  <c r="I70" i="6"/>
  <c r="I72" i="6"/>
  <c r="I73" i="6"/>
  <c r="I74" i="6"/>
  <c r="I75" i="6"/>
  <c r="I76" i="6"/>
  <c r="I77" i="6"/>
  <c r="I82" i="6"/>
  <c r="AB44" i="6"/>
  <c r="AB45" i="6"/>
  <c r="AB47" i="6"/>
  <c r="AB48" i="6"/>
  <c r="AB50" i="6"/>
  <c r="AB52" i="6"/>
  <c r="AB53" i="6"/>
  <c r="AB54" i="6"/>
  <c r="AB55" i="6"/>
  <c r="AB57" i="6"/>
  <c r="AB58" i="6"/>
  <c r="AB60" i="6"/>
  <c r="AB63" i="6"/>
  <c r="AB65" i="6"/>
  <c r="AB67" i="6"/>
  <c r="AB68" i="6"/>
  <c r="AB70" i="6"/>
  <c r="AB72" i="6"/>
  <c r="AB73" i="6"/>
  <c r="AB74" i="6"/>
  <c r="AB75" i="6"/>
  <c r="AB76" i="6"/>
  <c r="AB77" i="6"/>
  <c r="AB81" i="6"/>
  <c r="AB82" i="6"/>
  <c r="W51" i="6" l="1"/>
  <c r="AF51" i="6"/>
  <c r="S51" i="6"/>
  <c r="K51" i="6"/>
  <c r="J72" i="6"/>
  <c r="K72" i="6" s="1"/>
  <c r="J77" i="6"/>
  <c r="K77" i="6" s="1"/>
  <c r="J70" i="6"/>
  <c r="K70" i="6" s="1"/>
  <c r="J65" i="6"/>
  <c r="L65" i="6" s="1"/>
  <c r="W65" i="6" s="1"/>
  <c r="J58" i="6"/>
  <c r="K58" i="6" s="1"/>
  <c r="J53" i="6"/>
  <c r="K53" i="6" s="1"/>
  <c r="J48" i="6"/>
  <c r="K48" i="6" s="1"/>
  <c r="J74" i="6"/>
  <c r="L74" i="6" s="1"/>
  <c r="W74" i="6" s="1"/>
  <c r="J54" i="6"/>
  <c r="L54" i="6" s="1"/>
  <c r="W54" i="6" s="1"/>
  <c r="J45" i="6"/>
  <c r="K45" i="6" s="1"/>
  <c r="J76" i="6"/>
  <c r="K76" i="6" s="1"/>
  <c r="J63" i="6"/>
  <c r="L63" i="6" s="1"/>
  <c r="W63" i="6" s="1"/>
  <c r="J57" i="6"/>
  <c r="K57" i="6" s="1"/>
  <c r="J52" i="6"/>
  <c r="L52" i="6" s="1"/>
  <c r="W52" i="6" s="1"/>
  <c r="J47" i="6"/>
  <c r="L47" i="6" s="1"/>
  <c r="W47" i="6" s="1"/>
  <c r="J44" i="6"/>
  <c r="K44" i="6" s="1"/>
  <c r="J79" i="6"/>
  <c r="K79" i="6" s="1"/>
  <c r="J82" i="6"/>
  <c r="L82" i="6" s="1"/>
  <c r="W82" i="6" s="1"/>
  <c r="J73" i="6"/>
  <c r="K73" i="6" s="1"/>
  <c r="J67" i="6"/>
  <c r="L67" i="6" s="1"/>
  <c r="W67" i="6" s="1"/>
  <c r="J60" i="6"/>
  <c r="K60" i="6" s="1"/>
  <c r="J55" i="6"/>
  <c r="K55" i="6" s="1"/>
  <c r="AD81" i="6"/>
  <c r="AD82" i="6"/>
  <c r="AD79" i="6"/>
  <c r="AC51" i="6"/>
  <c r="T51" i="6"/>
  <c r="U51" i="6"/>
  <c r="V51" i="6"/>
  <c r="J75" i="6"/>
  <c r="L75" i="6" s="1"/>
  <c r="W75" i="6" s="1"/>
  <c r="J68" i="6"/>
  <c r="K68" i="6" s="1"/>
  <c r="J50" i="6"/>
  <c r="L50" i="6" s="1"/>
  <c r="W50" i="6" s="1"/>
  <c r="AD74" i="6"/>
  <c r="AD68" i="6"/>
  <c r="AD65" i="6"/>
  <c r="AD57" i="6"/>
  <c r="AD54" i="6"/>
  <c r="AD50" i="6"/>
  <c r="AD48" i="6"/>
  <c r="AD76" i="6"/>
  <c r="AD73" i="6"/>
  <c r="AD70" i="6"/>
  <c r="AD63" i="6"/>
  <c r="AD60" i="6"/>
  <c r="AD77" i="6"/>
  <c r="AD75" i="6"/>
  <c r="AD67" i="6"/>
  <c r="AD53" i="6"/>
  <c r="AD52" i="6"/>
  <c r="AD47" i="6"/>
  <c r="AD45" i="6"/>
  <c r="AD44" i="6"/>
  <c r="AT44" i="6"/>
  <c r="AT45" i="6"/>
  <c r="AT47" i="6"/>
  <c r="AT48" i="6"/>
  <c r="AT50" i="6"/>
  <c r="AT52" i="6"/>
  <c r="AT53" i="6"/>
  <c r="AT54" i="6"/>
  <c r="AT55" i="6"/>
  <c r="AT57" i="6"/>
  <c r="AT58" i="6"/>
  <c r="AT60" i="6"/>
  <c r="AT63" i="6"/>
  <c r="AT65" i="6"/>
  <c r="AT67" i="6"/>
  <c r="AT68" i="6"/>
  <c r="AT70" i="6"/>
  <c r="AT72" i="6"/>
  <c r="AT73" i="6"/>
  <c r="AT74" i="6"/>
  <c r="AT75" i="6"/>
  <c r="AT76" i="6"/>
  <c r="AT77" i="6"/>
  <c r="AT81" i="6"/>
  <c r="AT82" i="6"/>
  <c r="AT43" i="6"/>
  <c r="Y32" i="8"/>
  <c r="Y34" i="8"/>
  <c r="Y39" i="8"/>
  <c r="AT89" i="6" l="1"/>
  <c r="U65" i="6"/>
  <c r="X51" i="6"/>
  <c r="L70" i="6"/>
  <c r="U70" i="6" s="1"/>
  <c r="L58" i="6"/>
  <c r="W58" i="6" s="1"/>
  <c r="K54" i="6"/>
  <c r="K63" i="6"/>
  <c r="L76" i="6"/>
  <c r="L44" i="6"/>
  <c r="W44" i="6" s="1"/>
  <c r="L79" i="6"/>
  <c r="L55" i="6"/>
  <c r="W55" i="6" s="1"/>
  <c r="K52" i="6"/>
  <c r="K67" i="6"/>
  <c r="L53" i="6"/>
  <c r="W53" i="6" s="1"/>
  <c r="L77" i="6"/>
  <c r="L73" i="6"/>
  <c r="K82" i="6"/>
  <c r="L57" i="6"/>
  <c r="W57" i="6" s="1"/>
  <c r="L48" i="6"/>
  <c r="W48" i="6" s="1"/>
  <c r="K75" i="6"/>
  <c r="K74" i="6"/>
  <c r="K50" i="6"/>
  <c r="L60" i="6"/>
  <c r="W60" i="6" s="1"/>
  <c r="K47" i="6"/>
  <c r="L68" i="6"/>
  <c r="L45" i="6"/>
  <c r="W45" i="6" s="1"/>
  <c r="K65" i="6"/>
  <c r="L72" i="6"/>
  <c r="AC63" i="6"/>
  <c r="AC54" i="6"/>
  <c r="S54" i="6"/>
  <c r="V65" i="6"/>
  <c r="AC74" i="6"/>
  <c r="AF54" i="6"/>
  <c r="S65" i="6"/>
  <c r="AC47" i="6"/>
  <c r="AC81" i="6"/>
  <c r="U54" i="6"/>
  <c r="AC82" i="6"/>
  <c r="V50" i="6"/>
  <c r="AC50" i="6"/>
  <c r="U50" i="6"/>
  <c r="AC65" i="6"/>
  <c r="AC52" i="6"/>
  <c r="T54" i="6"/>
  <c r="AF65" i="6"/>
  <c r="AC75" i="6"/>
  <c r="V54" i="6"/>
  <c r="T65" i="6"/>
  <c r="AC67" i="6"/>
  <c r="T75" i="6"/>
  <c r="U75" i="6"/>
  <c r="V75" i="6"/>
  <c r="S75" i="6"/>
  <c r="AF50" i="6"/>
  <c r="S50" i="6"/>
  <c r="T50" i="6"/>
  <c r="AF75" i="6"/>
  <c r="AF52" i="6"/>
  <c r="V52" i="6"/>
  <c r="T52" i="6"/>
  <c r="U52" i="6"/>
  <c r="S52" i="6"/>
  <c r="T70" i="6"/>
  <c r="AF63" i="6"/>
  <c r="V63" i="6"/>
  <c r="T63" i="6"/>
  <c r="U63" i="6"/>
  <c r="S63" i="6"/>
  <c r="AF47" i="6"/>
  <c r="V47" i="6"/>
  <c r="T47" i="6"/>
  <c r="U47" i="6"/>
  <c r="S47" i="6"/>
  <c r="AF81" i="6"/>
  <c r="V81" i="6"/>
  <c r="U81" i="6"/>
  <c r="S81" i="6"/>
  <c r="T81" i="6"/>
  <c r="AF67" i="6"/>
  <c r="U67" i="6"/>
  <c r="V67" i="6"/>
  <c r="T67" i="6"/>
  <c r="S67" i="6"/>
  <c r="AF74" i="6"/>
  <c r="U74" i="6"/>
  <c r="V74" i="6"/>
  <c r="T74" i="6"/>
  <c r="S74" i="6"/>
  <c r="AF82" i="6"/>
  <c r="U82" i="6"/>
  <c r="V82" i="6"/>
  <c r="T82" i="6"/>
  <c r="S82" i="6"/>
  <c r="AC58" i="6" l="1"/>
  <c r="V70" i="6"/>
  <c r="AF70" i="6"/>
  <c r="S70" i="6"/>
  <c r="X50" i="6"/>
  <c r="X47" i="6"/>
  <c r="X75" i="6"/>
  <c r="T45" i="6"/>
  <c r="AC48" i="6"/>
  <c r="U76" i="6"/>
  <c r="W76" i="6"/>
  <c r="U58" i="6"/>
  <c r="X82" i="6"/>
  <c r="X81" i="6"/>
  <c r="X63" i="6"/>
  <c r="X65" i="6"/>
  <c r="U72" i="6"/>
  <c r="W72" i="6"/>
  <c r="U68" i="6"/>
  <c r="W68" i="6"/>
  <c r="U57" i="6"/>
  <c r="V77" i="6"/>
  <c r="W77" i="6"/>
  <c r="AC55" i="6"/>
  <c r="AC70" i="6"/>
  <c r="W70" i="6"/>
  <c r="X74" i="6"/>
  <c r="X54" i="6"/>
  <c r="V53" i="6"/>
  <c r="AC79" i="6"/>
  <c r="W79" i="6"/>
  <c r="X67" i="6"/>
  <c r="X52" i="6"/>
  <c r="V60" i="6"/>
  <c r="U73" i="6"/>
  <c r="W73" i="6"/>
  <c r="U44" i="6"/>
  <c r="V58" i="6"/>
  <c r="AF48" i="6"/>
  <c r="S45" i="6"/>
  <c r="U55" i="6"/>
  <c r="T58" i="6"/>
  <c r="U79" i="6"/>
  <c r="S58" i="6"/>
  <c r="AF58" i="6"/>
  <c r="V76" i="6"/>
  <c r="AC53" i="6"/>
  <c r="AF55" i="6"/>
  <c r="S53" i="6"/>
  <c r="U53" i="6"/>
  <c r="AF44" i="6"/>
  <c r="S55" i="6"/>
  <c r="AF72" i="6"/>
  <c r="AF53" i="6"/>
  <c r="T44" i="6"/>
  <c r="S48" i="6"/>
  <c r="U48" i="6"/>
  <c r="T48" i="6"/>
  <c r="V44" i="6"/>
  <c r="AF79" i="6"/>
  <c r="V48" i="6"/>
  <c r="S44" i="6"/>
  <c r="T76" i="6"/>
  <c r="AF76" i="6"/>
  <c r="S76" i="6"/>
  <c r="AC76" i="6"/>
  <c r="T68" i="6"/>
  <c r="V73" i="6"/>
  <c r="V79" i="6"/>
  <c r="S79" i="6"/>
  <c r="T79" i="6"/>
  <c r="V45" i="6"/>
  <c r="S57" i="6"/>
  <c r="T55" i="6"/>
  <c r="S72" i="6"/>
  <c r="T53" i="6"/>
  <c r="V55" i="6"/>
  <c r="T72" i="6"/>
  <c r="AF45" i="6"/>
  <c r="AF57" i="6"/>
  <c r="S60" i="6"/>
  <c r="AC60" i="6"/>
  <c r="AF60" i="6"/>
  <c r="S77" i="6"/>
  <c r="U77" i="6"/>
  <c r="AC68" i="6"/>
  <c r="T73" i="6"/>
  <c r="AF73" i="6"/>
  <c r="S68" i="6"/>
  <c r="V68" i="6"/>
  <c r="AC73" i="6"/>
  <c r="S73" i="6"/>
  <c r="AF68" i="6"/>
  <c r="AC77" i="6"/>
  <c r="T77" i="6"/>
  <c r="AF77" i="6"/>
  <c r="U60" i="6"/>
  <c r="V57" i="6"/>
  <c r="V72" i="6"/>
  <c r="U45" i="6"/>
  <c r="T60" i="6"/>
  <c r="AC72" i="6"/>
  <c r="AC57" i="6"/>
  <c r="T57" i="6"/>
  <c r="Y51" i="6"/>
  <c r="AX51" i="6" s="1"/>
  <c r="X70" i="6" l="1"/>
  <c r="X73" i="6"/>
  <c r="X77" i="6"/>
  <c r="X48" i="6"/>
  <c r="X76" i="6"/>
  <c r="X72" i="6"/>
  <c r="X58" i="6"/>
  <c r="X45" i="6"/>
  <c r="X55" i="6"/>
  <c r="X53" i="6"/>
  <c r="X68" i="6"/>
  <c r="X60" i="6"/>
  <c r="X57" i="6"/>
  <c r="X79" i="6"/>
  <c r="X44" i="6"/>
  <c r="AD43" i="6"/>
  <c r="AD89" i="6" s="1"/>
  <c r="AB43" i="6"/>
  <c r="AB89" i="6" s="1"/>
  <c r="AC25" i="8"/>
  <c r="AA25" i="8"/>
  <c r="Y25" i="8"/>
  <c r="W25" i="8"/>
  <c r="U25" i="8"/>
  <c r="S25" i="8"/>
  <c r="J25" i="8"/>
  <c r="L25" i="8" s="1"/>
  <c r="AC24" i="8"/>
  <c r="AA24" i="8"/>
  <c r="Y24" i="8"/>
  <c r="W24" i="8"/>
  <c r="U24" i="8"/>
  <c r="S24" i="8"/>
  <c r="J24" i="8"/>
  <c r="L24" i="8" s="1"/>
  <c r="J20" i="8"/>
  <c r="S20" i="8"/>
  <c r="U20" i="8"/>
  <c r="W20" i="8"/>
  <c r="Y20" i="8"/>
  <c r="AA20" i="8"/>
  <c r="AC20" i="8"/>
  <c r="J21" i="8"/>
  <c r="U21" i="8"/>
  <c r="W21" i="8"/>
  <c r="Y21" i="8"/>
  <c r="AA21" i="8"/>
  <c r="AC21" i="8"/>
  <c r="J22" i="8"/>
  <c r="S22" i="8"/>
  <c r="U22" i="8"/>
  <c r="W22" i="8"/>
  <c r="Y22" i="8"/>
  <c r="AA22" i="8"/>
  <c r="AC22" i="8"/>
  <c r="J31" i="8"/>
  <c r="S31" i="8"/>
  <c r="U31" i="8"/>
  <c r="W31" i="8"/>
  <c r="Y31" i="8"/>
  <c r="AC31" i="8"/>
  <c r="E32" i="8"/>
  <c r="F32" i="8"/>
  <c r="J32" i="8"/>
  <c r="AE32" i="8" s="1"/>
  <c r="S32" i="8"/>
  <c r="U32" i="8"/>
  <c r="W32" i="8"/>
  <c r="AC32" i="8"/>
  <c r="E34" i="8"/>
  <c r="F34" i="8"/>
  <c r="J34" i="8"/>
  <c r="S34" i="8"/>
  <c r="U34" i="8"/>
  <c r="W34" i="8"/>
  <c r="AC34" i="8"/>
  <c r="F39" i="8"/>
  <c r="J39" i="8"/>
  <c r="S39" i="8"/>
  <c r="U39" i="8"/>
  <c r="AC39" i="8"/>
  <c r="Y79" i="6" l="1"/>
  <c r="AX79" i="6" s="1"/>
  <c r="AA54" i="8"/>
  <c r="S54" i="8"/>
  <c r="Y54" i="8"/>
  <c r="L20" i="8"/>
  <c r="J54" i="8"/>
  <c r="W54" i="8"/>
  <c r="AC54" i="8"/>
  <c r="U54" i="8"/>
  <c r="AF32" i="8"/>
  <c r="N39" i="8"/>
  <c r="L39" i="8"/>
  <c r="N34" i="8"/>
  <c r="L34" i="8"/>
  <c r="N31" i="8"/>
  <c r="L31" i="8"/>
  <c r="L22" i="8"/>
  <c r="N22" i="8" s="1"/>
  <c r="O22" i="8" s="1"/>
  <c r="N32" i="8"/>
  <c r="L32" i="8"/>
  <c r="L21" i="8"/>
  <c r="AE39" i="8"/>
  <c r="AF39" i="8" s="1"/>
  <c r="AE31" i="8"/>
  <c r="AF31" i="8" s="1"/>
  <c r="AE34" i="8"/>
  <c r="AF34" i="8" s="1"/>
  <c r="L54" i="8" l="1"/>
  <c r="N20" i="8"/>
  <c r="O20" i="8" s="1"/>
  <c r="O31" i="8"/>
  <c r="AG31" i="8" s="1"/>
  <c r="O34" i="8"/>
  <c r="AG34" i="8" s="1"/>
  <c r="O32" i="8"/>
  <c r="AG32" i="8" s="1"/>
  <c r="O39" i="8"/>
  <c r="AG39" i="8" s="1"/>
  <c r="N21" i="8"/>
  <c r="O21" i="8" s="1"/>
  <c r="N25" i="8"/>
  <c r="O25" i="8" s="1"/>
  <c r="Q25" i="8" s="1"/>
  <c r="N24" i="8"/>
  <c r="AF22" i="8"/>
  <c r="AG22" i="8" s="1"/>
  <c r="N54" i="8" l="1"/>
  <c r="Q21" i="8"/>
  <c r="Q54" i="8" s="1"/>
  <c r="AE21" i="8"/>
  <c r="AE20" i="8"/>
  <c r="AE25" i="8"/>
  <c r="AF25" i="8" s="1"/>
  <c r="AG25" i="8" s="1"/>
  <c r="O24" i="8"/>
  <c r="O54" i="8" s="1"/>
  <c r="AF20" i="8" l="1"/>
  <c r="AG20" i="8" s="1"/>
  <c r="AF21" i="8"/>
  <c r="AG21" i="8" s="1"/>
  <c r="AE24" i="8"/>
  <c r="AE54" i="8" s="1"/>
  <c r="AF24" i="8" l="1"/>
  <c r="AF54" i="8" s="1"/>
  <c r="Z47" i="6"/>
  <c r="Z89" i="6" s="1"/>
  <c r="AA47" i="6" l="1"/>
  <c r="AA89" i="6" s="1"/>
  <c r="AG24" i="8"/>
  <c r="AG54" i="8" s="1"/>
  <c r="AK44" i="6" l="1"/>
  <c r="AK45" i="6"/>
  <c r="AK47" i="6"/>
  <c r="AK48" i="6"/>
  <c r="AK50" i="6"/>
  <c r="AK52" i="6"/>
  <c r="AK53" i="6"/>
  <c r="AK54" i="6"/>
  <c r="AK55" i="6"/>
  <c r="AK57" i="6"/>
  <c r="AK58" i="6"/>
  <c r="AK60" i="6"/>
  <c r="AK63" i="6"/>
  <c r="AK65" i="6"/>
  <c r="AK67" i="6"/>
  <c r="AK68" i="6"/>
  <c r="AK70" i="6"/>
  <c r="AK72" i="6"/>
  <c r="AK73" i="6"/>
  <c r="AK74" i="6"/>
  <c r="AK75" i="6"/>
  <c r="AK76" i="6"/>
  <c r="AK77" i="6"/>
  <c r="AK81" i="6"/>
  <c r="AK82" i="6"/>
  <c r="AK43" i="6"/>
  <c r="AJ44" i="6"/>
  <c r="AJ45" i="6"/>
  <c r="AJ47" i="6"/>
  <c r="AJ48" i="6"/>
  <c r="AJ50" i="6"/>
  <c r="AJ52" i="6"/>
  <c r="AJ53" i="6"/>
  <c r="AJ54" i="6"/>
  <c r="AJ55" i="6"/>
  <c r="AJ57" i="6"/>
  <c r="AJ58" i="6"/>
  <c r="AJ60" i="6"/>
  <c r="AJ63" i="6"/>
  <c r="AJ65" i="6"/>
  <c r="AJ67" i="6"/>
  <c r="AJ68" i="6"/>
  <c r="AJ70" i="6"/>
  <c r="AJ72" i="6"/>
  <c r="AJ73" i="6"/>
  <c r="AJ74" i="6"/>
  <c r="AJ75" i="6"/>
  <c r="AJ76" i="6"/>
  <c r="AJ77" i="6"/>
  <c r="AJ81" i="6"/>
  <c r="AJ82" i="6"/>
  <c r="AJ43" i="6"/>
  <c r="AK89" i="6" l="1"/>
  <c r="AJ89" i="6"/>
  <c r="AS16" i="6"/>
  <c r="AS32" i="6" l="1"/>
  <c r="AN44" i="6"/>
  <c r="AO44" i="6"/>
  <c r="AN45" i="6"/>
  <c r="AO45" i="6"/>
  <c r="AN47" i="6"/>
  <c r="AO47" i="6"/>
  <c r="AN48" i="6"/>
  <c r="AO48" i="6"/>
  <c r="AO50" i="6"/>
  <c r="AN52" i="6"/>
  <c r="AO52" i="6"/>
  <c r="AN53" i="6"/>
  <c r="AO53" i="6"/>
  <c r="AN54" i="6"/>
  <c r="AO54" i="6"/>
  <c r="AN55" i="6"/>
  <c r="AO55" i="6"/>
  <c r="AN57" i="6"/>
  <c r="AO57" i="6"/>
  <c r="AN58" i="6"/>
  <c r="AO58" i="6"/>
  <c r="AN60" i="6"/>
  <c r="AO60" i="6"/>
  <c r="AN63" i="6"/>
  <c r="AO63" i="6"/>
  <c r="AN65" i="6"/>
  <c r="AO65" i="6"/>
  <c r="AN67" i="6"/>
  <c r="AO67" i="6"/>
  <c r="AN68" i="6"/>
  <c r="AO68" i="6"/>
  <c r="AN70" i="6"/>
  <c r="AO70" i="6"/>
  <c r="AN72" i="6"/>
  <c r="AO72" i="6"/>
  <c r="AN73" i="6"/>
  <c r="AO73" i="6"/>
  <c r="AN74" i="6"/>
  <c r="AO74" i="6"/>
  <c r="AN75" i="6"/>
  <c r="AO75" i="6"/>
  <c r="AN76" i="6"/>
  <c r="AO76" i="6"/>
  <c r="AN77" i="6"/>
  <c r="AO77" i="6"/>
  <c r="AN81" i="6"/>
  <c r="AO81" i="6"/>
  <c r="AN82" i="6"/>
  <c r="AO82" i="6"/>
  <c r="AR52" i="6"/>
  <c r="AR75" i="6"/>
  <c r="AR76" i="6"/>
  <c r="AR77" i="6"/>
  <c r="AR81" i="6"/>
  <c r="AR82" i="6"/>
  <c r="AR60" i="6"/>
  <c r="AR44" i="6"/>
  <c r="AR45" i="6"/>
  <c r="AR47" i="6"/>
  <c r="AR48" i="6"/>
  <c r="AR50" i="6"/>
  <c r="AR53" i="6"/>
  <c r="AR54" i="6"/>
  <c r="AR55" i="6"/>
  <c r="AR57" i="6"/>
  <c r="AR58" i="6"/>
  <c r="AR63" i="6"/>
  <c r="AR65" i="6"/>
  <c r="AR67" i="6"/>
  <c r="AR68" i="6"/>
  <c r="AR70" i="6"/>
  <c r="AR72" i="6"/>
  <c r="AR73" i="6"/>
  <c r="AR74" i="6"/>
  <c r="AR43" i="6"/>
  <c r="AO43" i="6"/>
  <c r="AN43" i="6"/>
  <c r="AN89" i="6" l="1"/>
  <c r="AR89" i="6"/>
  <c r="AO89" i="6"/>
  <c r="Y67" i="6"/>
  <c r="AX67" i="6" s="1"/>
  <c r="Y76" i="6"/>
  <c r="AX76" i="6" s="1"/>
  <c r="Y50" i="6"/>
  <c r="AX50" i="6" s="1"/>
  <c r="AC44" i="6"/>
  <c r="AC45" i="6"/>
  <c r="I43" i="6"/>
  <c r="I89" i="6" s="1"/>
  <c r="AS4" i="6"/>
  <c r="AS3" i="6"/>
  <c r="Y53" i="6" l="1"/>
  <c r="AX53" i="6" s="1"/>
  <c r="Y57" i="6"/>
  <c r="AX57" i="6" s="1"/>
  <c r="Y74" i="6"/>
  <c r="AX74" i="6" s="1"/>
  <c r="Y52" i="6"/>
  <c r="AX52" i="6" s="1"/>
  <c r="Y44" i="6"/>
  <c r="AX44" i="6" s="1"/>
  <c r="Y48" i="6"/>
  <c r="AX48" i="6" s="1"/>
  <c r="Y70" i="6"/>
  <c r="AX70" i="6" s="1"/>
  <c r="Y45" i="6"/>
  <c r="AX45" i="6" s="1"/>
  <c r="Y47" i="6"/>
  <c r="AX47" i="6" s="1"/>
  <c r="Y77" i="6"/>
  <c r="AX77" i="6" s="1"/>
  <c r="Y63" i="6"/>
  <c r="AX63" i="6" s="1"/>
  <c r="Y68" i="6"/>
  <c r="AX68" i="6" s="1"/>
  <c r="Y81" i="6"/>
  <c r="AX81" i="6" s="1"/>
  <c r="Y75" i="6"/>
  <c r="AX75" i="6" s="1"/>
  <c r="Y73" i="6"/>
  <c r="AX73" i="6" s="1"/>
  <c r="Y58" i="6"/>
  <c r="AX58" i="6" s="1"/>
  <c r="Y72" i="6"/>
  <c r="AX72" i="6" s="1"/>
  <c r="Y82" i="6"/>
  <c r="AX82" i="6" s="1"/>
  <c r="Y65" i="6"/>
  <c r="AX65" i="6" s="1"/>
  <c r="Y55" i="6"/>
  <c r="AX55" i="6" s="1"/>
  <c r="Y60" i="6"/>
  <c r="AX60" i="6" s="1"/>
  <c r="Y54" i="6"/>
  <c r="AX54" i="6" s="1"/>
  <c r="J43" i="6"/>
  <c r="J89" i="6" s="1"/>
  <c r="K43" i="6" l="1"/>
  <c r="K89" i="6" s="1"/>
  <c r="L43" i="6"/>
  <c r="L89" i="6" s="1"/>
  <c r="W43" i="6" l="1"/>
  <c r="W89" i="6" s="1"/>
  <c r="S43" i="6"/>
  <c r="S89" i="6" s="1"/>
  <c r="U43" i="6"/>
  <c r="U89" i="6" s="1"/>
  <c r="AF43" i="6"/>
  <c r="AF89" i="6" s="1"/>
  <c r="AC43" i="6"/>
  <c r="AC89" i="6" s="1"/>
  <c r="V43" i="6"/>
  <c r="V89" i="6" s="1"/>
  <c r="T43" i="6"/>
  <c r="T89" i="6" s="1"/>
  <c r="X43" i="6" l="1"/>
  <c r="X89" i="6" l="1"/>
  <c r="Y43" i="6"/>
  <c r="Y89" i="6" s="1"/>
  <c r="AX43" i="6" l="1"/>
  <c r="AX89" i="6" s="1"/>
</calcChain>
</file>

<file path=xl/sharedStrings.xml><?xml version="1.0" encoding="utf-8"?>
<sst xmlns="http://schemas.openxmlformats.org/spreadsheetml/2006/main" count="640" uniqueCount="287">
  <si>
    <t>1-4</t>
  </si>
  <si>
    <t>5-9</t>
  </si>
  <si>
    <t>10-11</t>
  </si>
  <si>
    <t>№  п/п</t>
  </si>
  <si>
    <t>Ф.И.О</t>
  </si>
  <si>
    <t>Категория</t>
  </si>
  <si>
    <t>Коэффициент</t>
  </si>
  <si>
    <t>Дополнительная оплата</t>
  </si>
  <si>
    <t>ИТОГО:</t>
  </si>
  <si>
    <t>Должностной оклад (17697* коэф)</t>
  </si>
  <si>
    <t>высшее</t>
  </si>
  <si>
    <t>1-4 классы</t>
  </si>
  <si>
    <t>5-9 классы</t>
  </si>
  <si>
    <t>Прочие надбавки</t>
  </si>
  <si>
    <t>Педагогический стаж</t>
  </si>
  <si>
    <t>Всего заработная плата в месяц</t>
  </si>
  <si>
    <t>Занимаемая должность преподаваемого  предмета</t>
  </si>
  <si>
    <t xml:space="preserve">Образование </t>
  </si>
  <si>
    <t>заведующий мастерской</t>
  </si>
  <si>
    <t>физкультура</t>
  </si>
  <si>
    <t>первая</t>
  </si>
  <si>
    <t>без категории</t>
  </si>
  <si>
    <t>история</t>
  </si>
  <si>
    <t>категория</t>
  </si>
  <si>
    <t>В2-2</t>
  </si>
  <si>
    <t>В2-3</t>
  </si>
  <si>
    <t>В2-4</t>
  </si>
  <si>
    <t>НВП</t>
  </si>
  <si>
    <t xml:space="preserve">Заработная плата </t>
  </si>
  <si>
    <t>В4-4</t>
  </si>
  <si>
    <t>Доплаты за ОСО</t>
  </si>
  <si>
    <t>Доплаты за квалтест</t>
  </si>
  <si>
    <t>Доплаты полиязычие</t>
  </si>
  <si>
    <t>количество часов ОСО</t>
  </si>
  <si>
    <t>сумма доплаты ОСО</t>
  </si>
  <si>
    <t>%</t>
  </si>
  <si>
    <t>сумма доплаты квалтест</t>
  </si>
  <si>
    <t>Доплаты за обучение на дому</t>
  </si>
  <si>
    <t>количество часов инклюзив</t>
  </si>
  <si>
    <t>сумма доплаты инклюзив</t>
  </si>
  <si>
    <t>В4-3</t>
  </si>
  <si>
    <t>25% сельские</t>
  </si>
  <si>
    <t xml:space="preserve">Общее количество часов </t>
  </si>
  <si>
    <t>классное  руководство          50%               60%</t>
  </si>
  <si>
    <t>за степень магистра</t>
  </si>
  <si>
    <t xml:space="preserve">Главный экономист                                              </t>
  </si>
  <si>
    <t>№ п/п</t>
  </si>
  <si>
    <t>Показатели на начало учебного года</t>
  </si>
  <si>
    <t>ВСЕГО</t>
  </si>
  <si>
    <t>Общее число препод. работы в неделю по тарификации в т.ч.</t>
  </si>
  <si>
    <t>оплачено из бюджета</t>
  </si>
  <si>
    <t>а)</t>
  </si>
  <si>
    <t>число часов по уч. плану</t>
  </si>
  <si>
    <t>б)</t>
  </si>
  <si>
    <t>число дополнительных часов</t>
  </si>
  <si>
    <t>казахский  язык</t>
  </si>
  <si>
    <t>казахская  литература</t>
  </si>
  <si>
    <t xml:space="preserve">Т А Р И Ф И К А Ц И О Н Н Ы Й     С П И С О К </t>
  </si>
  <si>
    <t>хореография</t>
  </si>
  <si>
    <t>учителей и других работников</t>
  </si>
  <si>
    <t>инфоматика</t>
  </si>
  <si>
    <t>иностранный  язык</t>
  </si>
  <si>
    <t>русский яз и литература</t>
  </si>
  <si>
    <t>физическая культура</t>
  </si>
  <si>
    <t>основы экономических  знаний</t>
  </si>
  <si>
    <t>профиль</t>
  </si>
  <si>
    <t>прикл.курсы</t>
  </si>
  <si>
    <t>кол-во класс комплектов:</t>
  </si>
  <si>
    <t xml:space="preserve">обучение  на  дому  </t>
  </si>
  <si>
    <t>кол-во детей:</t>
  </si>
  <si>
    <t>основы  малого  бизнеса</t>
  </si>
  <si>
    <t>прочие, кружки</t>
  </si>
  <si>
    <t>спорт</t>
  </si>
  <si>
    <t>туризм</t>
  </si>
  <si>
    <t>физика</t>
  </si>
  <si>
    <t>количество часов</t>
  </si>
  <si>
    <t>Общее количество часов языки</t>
  </si>
  <si>
    <t>классное  руководство 5-11</t>
  </si>
  <si>
    <t>классное  руководство 1-4</t>
  </si>
  <si>
    <t>Хусаинова Гульнар Алтабаевна</t>
  </si>
  <si>
    <t>химия</t>
  </si>
  <si>
    <t>высш</t>
  </si>
  <si>
    <t>Борщ Лена Васильевна</t>
  </si>
  <si>
    <t>Аманжолова Манзирка Кукуновна</t>
  </si>
  <si>
    <t xml:space="preserve">математика  </t>
  </si>
  <si>
    <t>Утепбергенова Гульнар Каниевна</t>
  </si>
  <si>
    <t>Мукишова Гульжан Мирашовна</t>
  </si>
  <si>
    <t>Смаилова Сауле Айтановна</t>
  </si>
  <si>
    <t>Ахай Саягуль</t>
  </si>
  <si>
    <t>каз язык лит</t>
  </si>
  <si>
    <t>Карымсакова Гульмира Маговиевна</t>
  </si>
  <si>
    <t xml:space="preserve">Буранбаева Жанаркуль Жумахметовна             </t>
  </si>
  <si>
    <t>Мухамедшарипов Казбек Серикович</t>
  </si>
  <si>
    <t xml:space="preserve">анг </t>
  </si>
  <si>
    <t>Муминова Айнур Рустамовна</t>
  </si>
  <si>
    <t>Ниязова Майра Сапаралиевна</t>
  </si>
  <si>
    <t>выс ш</t>
  </si>
  <si>
    <t>Шухитова Айнур Омаровна</t>
  </si>
  <si>
    <t xml:space="preserve">Кунтаева Гульдана Сериковна            </t>
  </si>
  <si>
    <t xml:space="preserve">  рус.язык лит</t>
  </si>
  <si>
    <t>музыка</t>
  </si>
  <si>
    <t>Төрехан Мадина Бауыржанқызы</t>
  </si>
  <si>
    <t>выс</t>
  </si>
  <si>
    <t>ср.сп</t>
  </si>
  <si>
    <t>Кожахметова Саулеш Акбузауовна</t>
  </si>
  <si>
    <t>ср сп</t>
  </si>
  <si>
    <t>педагог-модератор</t>
  </si>
  <si>
    <t>педагог-эксперт</t>
  </si>
  <si>
    <t>Акылбаев Б.</t>
  </si>
  <si>
    <t>п-эксперт</t>
  </si>
  <si>
    <t xml:space="preserve">геогр биолог </t>
  </si>
  <si>
    <t>п-иследователь</t>
  </si>
  <si>
    <t xml:space="preserve"> п-эксперт</t>
  </si>
  <si>
    <t>Батыров Жақсылық Батырұлы</t>
  </si>
  <si>
    <t xml:space="preserve">     , рус.яз лит-ра</t>
  </si>
  <si>
    <t>п-модератор</t>
  </si>
  <si>
    <t>обуч на дому 1-4</t>
  </si>
  <si>
    <t>обуч на дому 5-9</t>
  </si>
  <si>
    <t>Обуч на дому 1-4</t>
  </si>
  <si>
    <t>Обуч на дому 5-9</t>
  </si>
  <si>
    <t>Жиынтығы:</t>
  </si>
  <si>
    <t>орта</t>
  </si>
  <si>
    <t>D</t>
  </si>
  <si>
    <t>жоғарғы</t>
  </si>
  <si>
    <t>іс жүргізуші</t>
  </si>
  <si>
    <t>психолог</t>
  </si>
  <si>
    <t>Буранбаева Жанаркул Жумахметовна</t>
  </si>
  <si>
    <t>вожатый</t>
  </si>
  <si>
    <t>А1-3-1</t>
  </si>
  <si>
    <t>зам по ВР</t>
  </si>
  <si>
    <t>зам по УВР</t>
  </si>
  <si>
    <t>А1-3</t>
  </si>
  <si>
    <t>мектеп директоры</t>
  </si>
  <si>
    <t>Сомасы</t>
  </si>
  <si>
    <t>төлеуге жататын сағат саны</t>
  </si>
  <si>
    <t>кун саны</t>
  </si>
  <si>
    <t>сомасы</t>
  </si>
  <si>
    <t>бірлік</t>
  </si>
  <si>
    <t>пайыз</t>
  </si>
  <si>
    <t>Қосымша төлемдердің жиынтық сомасы</t>
  </si>
  <si>
    <t>Ерекше еңбек жағдайлары үшін үстемеақы 10%</t>
  </si>
  <si>
    <t>түнгі жұмыс үшін</t>
  </si>
  <si>
    <t>Мереке кундері үшін</t>
  </si>
  <si>
    <t>Сыныптық біліктілігі үшін</t>
  </si>
  <si>
    <t>20%хлор</t>
  </si>
  <si>
    <t>Оқулықтардың кiтапханалық қорымен жұмыс істегенi үшін</t>
  </si>
  <si>
    <t>квалтес</t>
  </si>
  <si>
    <t>санаты бойынша</t>
  </si>
  <si>
    <t>Кәсіптік, біліктілік санаты, разряды</t>
  </si>
  <si>
    <t>Айлық еңбек ақы, барлығы</t>
  </si>
  <si>
    <t>ҚОСЫМША АҚЫЛАР МЕН ҮСТЕМЕАҚЫЛАР</t>
  </si>
  <si>
    <t>25% қоса есептелгендегі еңбек ақы жиынтығы</t>
  </si>
  <si>
    <t>Ауылдық жердегі жұмысы үшін арттыру</t>
  </si>
  <si>
    <t>Қызметтік айлықақы</t>
  </si>
  <si>
    <t>штаттық бірлік</t>
  </si>
  <si>
    <t>жалақы есептеу коэффициенті</t>
  </si>
  <si>
    <t>мамандығы бойынша еңбек өтілі</t>
  </si>
  <si>
    <t>санаты</t>
  </si>
  <si>
    <t>білімі</t>
  </si>
  <si>
    <t>Лауазым атауы</t>
  </si>
  <si>
    <t>Тегі, аты, әкесінің аты</t>
  </si>
  <si>
    <t xml:space="preserve">№№ </t>
  </si>
  <si>
    <t>БЛЖ</t>
  </si>
  <si>
    <t xml:space="preserve">                                                    КГУ "Оснавная средняя школа села Жалтырколь отдела образования по Аршалынскому району управления образования Акмолинской области" </t>
  </si>
  <si>
    <t xml:space="preserve">       Штатное расписание</t>
  </si>
  <si>
    <t xml:space="preserve">____________ </t>
  </si>
  <si>
    <t>Директор</t>
  </si>
  <si>
    <t xml:space="preserve"> </t>
  </si>
  <si>
    <t xml:space="preserve">с мес.ФЗП </t>
  </si>
  <si>
    <t xml:space="preserve">штат в кол-ве   </t>
  </si>
  <si>
    <t>Утверждаю</t>
  </si>
  <si>
    <t xml:space="preserve">  "СОГЛАСОВАНО"</t>
  </si>
  <si>
    <t>Аскерхан Зауреш</t>
  </si>
  <si>
    <t>рабочий</t>
  </si>
  <si>
    <t>Новый Должностной оклад 75%</t>
  </si>
  <si>
    <t>водитель</t>
  </si>
  <si>
    <t>Физкультура</t>
  </si>
  <si>
    <t>б/к</t>
  </si>
  <si>
    <t>педагог модератов</t>
  </si>
  <si>
    <t>худ.труд</t>
  </si>
  <si>
    <t xml:space="preserve">информатика </t>
  </si>
  <si>
    <t xml:space="preserve">технология, </t>
  </si>
  <si>
    <t>Сабиева Асель Ашукеновна</t>
  </si>
  <si>
    <t>Сапарбаева Калдыкул Саденовна</t>
  </si>
  <si>
    <t>Нагаев Айдархан Рахметтулович</t>
  </si>
  <si>
    <t>вакансия</t>
  </si>
  <si>
    <t>Бабанова Жанар Маратовна</t>
  </si>
  <si>
    <t>Тубетова Рысжан Султановна</t>
  </si>
  <si>
    <t>45-100% көтерме ақы</t>
  </si>
  <si>
    <t>100 % увеличения ДО</t>
  </si>
  <si>
    <t>Бакетаева Жанна Жаксылыковна</t>
  </si>
  <si>
    <t>Сапарбай Акмарал Абиқызы</t>
  </si>
  <si>
    <t>педагог</t>
  </si>
  <si>
    <t>Кенжегалиева Акшархат Адильхановна</t>
  </si>
  <si>
    <t>Жабайханова Карина Аскаровна</t>
  </si>
  <si>
    <t>1 а класс</t>
  </si>
  <si>
    <t>В 2-4</t>
  </si>
  <si>
    <t>В 4-4</t>
  </si>
  <si>
    <t>Смаль Жайнагул</t>
  </si>
  <si>
    <t>педагог модератор</t>
  </si>
  <si>
    <t>наставничество</t>
  </si>
  <si>
    <t>зам.директора по хоз.части</t>
  </si>
  <si>
    <t>Мырзағұл Нұрсұлтан Женісұлы</t>
  </si>
  <si>
    <t>плотник</t>
  </si>
  <si>
    <t>Умиржанова Сакып</t>
  </si>
  <si>
    <t>Доман Гүлгайым</t>
  </si>
  <si>
    <t>Шакенова Камшат Амантаевна</t>
  </si>
  <si>
    <t>Ысқақ Нурилаш</t>
  </si>
  <si>
    <t>техничка</t>
  </si>
  <si>
    <t xml:space="preserve"> Руководитель ГУ «Отдел образования по Аршалынскому району управления образования Акмолинской области»</t>
  </si>
  <si>
    <t>Ж.Кайрмденов</t>
  </si>
  <si>
    <t>среднее спец</t>
  </si>
  <si>
    <t>Абикеев Хасенбай Ануарбекович</t>
  </si>
  <si>
    <t>секретарь</t>
  </si>
  <si>
    <t>кочегар</t>
  </si>
  <si>
    <t>Ибикеева Гулсум</t>
  </si>
  <si>
    <t>до года</t>
  </si>
  <si>
    <t>A2-3</t>
  </si>
  <si>
    <t>С-3</t>
  </si>
  <si>
    <t>гардеробщик</t>
  </si>
  <si>
    <t>10-11 классы</t>
  </si>
  <si>
    <t>1-11 классы</t>
  </si>
  <si>
    <t>в 2-4</t>
  </si>
  <si>
    <t>кол-во кл.компл:  21</t>
  </si>
  <si>
    <t xml:space="preserve">военрук </t>
  </si>
  <si>
    <t xml:space="preserve">библиотекарь </t>
  </si>
  <si>
    <t>Вакансия</t>
  </si>
  <si>
    <t xml:space="preserve">Мектеп директоры:  </t>
  </si>
  <si>
    <t>Гл.     Экономист</t>
  </si>
  <si>
    <t xml:space="preserve">          Акылбаев Б</t>
  </si>
  <si>
    <t>Отдель кадр</t>
  </si>
  <si>
    <t>Бухгалтер</t>
  </si>
  <si>
    <t xml:space="preserve">          Альмагамбетова М.С.</t>
  </si>
  <si>
    <t>Методист:</t>
  </si>
  <si>
    <t>Маханов Р.Ж.</t>
  </si>
  <si>
    <t xml:space="preserve"> Жанабергенова А.К.</t>
  </si>
  <si>
    <t xml:space="preserve">                         Жанабергенова А.К.</t>
  </si>
  <si>
    <t>НА 01.09.2024-2025 УЧЕБНЫЙ ГОД</t>
  </si>
  <si>
    <t>"    01" 09.  2024г</t>
  </si>
  <si>
    <t>"   01 "__09.2024 год</t>
  </si>
  <si>
    <t>Адрес школы: Акмолинская область,Аршалынский район, а.Жалтырколь, ул.А.Бокейханова 5</t>
  </si>
  <si>
    <t>Р.Газиз</t>
  </si>
  <si>
    <t>ИО директора</t>
  </si>
  <si>
    <t>Число классов на 1 сентября</t>
  </si>
  <si>
    <t>Число кл-комлектов на 1 сентября</t>
  </si>
  <si>
    <t>Число учащихся на 1 сентября</t>
  </si>
  <si>
    <t>Газиз Роза</t>
  </si>
  <si>
    <t>қазақ тілі/ әдеб</t>
  </si>
  <si>
    <t>4Ә класс</t>
  </si>
  <si>
    <t>3 А класс</t>
  </si>
  <si>
    <t>Лошак Александер Николаевич</t>
  </si>
  <si>
    <t xml:space="preserve"> ист общ геогра</t>
  </si>
  <si>
    <t>география</t>
  </si>
  <si>
    <t>Молдажанова Назира Муслимовна</t>
  </si>
  <si>
    <t>Каратаева Лаура Каирбековна</t>
  </si>
  <si>
    <t>Закарин Бауыржан Ибнияевич (совместитель)</t>
  </si>
  <si>
    <t>худ.руд</t>
  </si>
  <si>
    <t>Испаева Жанат Нурбахитовна (совместитель)</t>
  </si>
  <si>
    <t>кружки</t>
  </si>
  <si>
    <t>Накупов Абай Сайлаубекович</t>
  </si>
  <si>
    <t>глоб.ком</t>
  </si>
  <si>
    <t xml:space="preserve">3 ә класс, </t>
  </si>
  <si>
    <t xml:space="preserve">2Әкласс </t>
  </si>
  <si>
    <t>4 А класс</t>
  </si>
  <si>
    <t>2 а класс</t>
  </si>
  <si>
    <t xml:space="preserve">1 Ә класс </t>
  </si>
  <si>
    <t>2-3Ә рус.яз</t>
  </si>
  <si>
    <t>Мылтықбай Асылзат Ғалымжанқызы</t>
  </si>
  <si>
    <t xml:space="preserve">Оңғар Гаухар </t>
  </si>
  <si>
    <t>рус.яз/лит</t>
  </si>
  <si>
    <t>Сыздыкова Айткуль Сейткереевна (совместитель)</t>
  </si>
  <si>
    <t>2 класс</t>
  </si>
  <si>
    <t>5,0/8</t>
  </si>
  <si>
    <t xml:space="preserve">Газиз Роза </t>
  </si>
  <si>
    <t>соц,педагог</t>
  </si>
  <si>
    <t>биология</t>
  </si>
  <si>
    <t>сред спец</t>
  </si>
  <si>
    <t>Әшімбек Мөлдір Бекмұратқызы</t>
  </si>
  <si>
    <t>Алихан Ельжан</t>
  </si>
  <si>
    <t>Сарсенбин Талгат Тулигенович</t>
  </si>
  <si>
    <t>дворник</t>
  </si>
  <si>
    <t>Кульбаев Е.О.</t>
  </si>
  <si>
    <t>электрик</t>
  </si>
  <si>
    <t>В 3-4</t>
  </si>
  <si>
    <t>В2-1</t>
  </si>
  <si>
    <t>" 01"_09.2024 год</t>
  </si>
  <si>
    <t>"  01" _09.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</si>
</sst>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_-* #,##0_р_._-;\-* #,##0_р_._-;_-* &quot;-&quot;??_р_._-;_-@_-"/>
    <numFmt numFmtId="167" formatCode="#,##0.0_ ;\-#,##0.0\ "/>
  </numFmts>
  <fonts count="5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28"/>
      <name val="Arial Cyr"/>
      <family val="2"/>
      <charset val="204"/>
    </font>
    <font>
      <sz val="2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22.5"/>
      <name val="Times New Roman"/>
      <family val="1"/>
      <charset val="204"/>
    </font>
    <font>
      <b/>
      <sz val="22.5"/>
      <name val="Times New Roman"/>
      <family val="1"/>
      <charset val="204"/>
    </font>
    <font>
      <sz val="22.5"/>
      <color indexed="22"/>
      <name val="Times New Roman"/>
      <family val="1"/>
      <charset val="204"/>
    </font>
    <font>
      <sz val="22.5"/>
      <name val="Arial Cyr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name val="Arial Cyr"/>
      <charset val="204"/>
    </font>
    <font>
      <sz val="9"/>
      <name val="Arial Cyr"/>
      <family val="2"/>
      <charset val="204"/>
    </font>
    <font>
      <sz val="22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 tint="4.9989318521683403E-2"/>
      <name val="Arial Cyr"/>
      <charset val="204"/>
    </font>
    <font>
      <sz val="12"/>
      <color indexed="8"/>
      <name val="Arial Cyr"/>
      <charset val="204"/>
    </font>
    <font>
      <b/>
      <sz val="2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name val="Arial Cyr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9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0" fontId="1" fillId="0" borderId="0"/>
    <xf numFmtId="0" fontId="1" fillId="0" borderId="0"/>
    <xf numFmtId="0" fontId="46" fillId="0" borderId="0"/>
    <xf numFmtId="164" fontId="1" fillId="0" borderId="0" applyFill="0" applyBorder="0" applyAlignment="0" applyProtection="0"/>
  </cellStyleXfs>
  <cellXfs count="357">
    <xf numFmtId="0" fontId="0" fillId="0" borderId="0" xfId="0"/>
    <xf numFmtId="0" fontId="18" fillId="0" borderId="0" xfId="0" applyFont="1"/>
    <xf numFmtId="1" fontId="18" fillId="0" borderId="0" xfId="0" applyNumberFormat="1" applyFont="1"/>
    <xf numFmtId="0" fontId="21" fillId="0" borderId="0" xfId="0" applyFont="1"/>
    <xf numFmtId="0" fontId="22" fillId="0" borderId="0" xfId="0" applyFont="1"/>
    <xf numFmtId="1" fontId="22" fillId="0" borderId="0" xfId="0" applyNumberFormat="1" applyFont="1"/>
    <xf numFmtId="0" fontId="23" fillId="0" borderId="0" xfId="0" applyFont="1"/>
    <xf numFmtId="1" fontId="23" fillId="0" borderId="0" xfId="0" applyNumberFormat="1" applyFon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" fontId="23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5" fillId="0" borderId="0" xfId="0" applyFont="1"/>
    <xf numFmtId="0" fontId="23" fillId="0" borderId="1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15" borderId="0" xfId="0" applyFont="1" applyFill="1" applyAlignment="1">
      <alignment vertical="center"/>
    </xf>
    <xf numFmtId="10" fontId="25" fillId="0" borderId="0" xfId="0" applyNumberFormat="1" applyFont="1"/>
    <xf numFmtId="0" fontId="18" fillId="16" borderId="0" xfId="0" applyFont="1" applyFill="1"/>
    <xf numFmtId="0" fontId="23" fillId="16" borderId="0" xfId="0" applyFont="1" applyFill="1"/>
    <xf numFmtId="0" fontId="23" fillId="16" borderId="0" xfId="0" applyFont="1" applyFill="1" applyAlignment="1">
      <alignment horizontal="left"/>
    </xf>
    <xf numFmtId="0" fontId="22" fillId="16" borderId="0" xfId="0" applyFont="1" applyFill="1"/>
    <xf numFmtId="0" fontId="21" fillId="16" borderId="0" xfId="0" applyFont="1" applyFill="1" applyAlignment="1">
      <alignment vertical="center"/>
    </xf>
    <xf numFmtId="0" fontId="27" fillId="0" borderId="10" xfId="0" applyFont="1" applyBorder="1" applyAlignment="1">
      <alignment horizontal="center" vertical="center" textRotation="90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16" borderId="10" xfId="0" applyFont="1" applyFill="1" applyBorder="1" applyAlignment="1">
      <alignment vertical="center" wrapText="1"/>
    </xf>
    <xf numFmtId="0" fontId="28" fillId="15" borderId="10" xfId="0" applyFont="1" applyFill="1" applyBorder="1" applyAlignment="1">
      <alignment horizontal="right" vertical="center"/>
    </xf>
    <xf numFmtId="0" fontId="28" fillId="16" borderId="10" xfId="0" applyFont="1" applyFill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15" borderId="10" xfId="0" applyFont="1" applyFill="1" applyBorder="1" applyAlignment="1">
      <alignment vertical="center"/>
    </xf>
    <xf numFmtId="0" fontId="28" fillId="16" borderId="10" xfId="0" applyFont="1" applyFill="1" applyBorder="1" applyAlignment="1">
      <alignment vertical="center"/>
    </xf>
    <xf numFmtId="166" fontId="28" fillId="0" borderId="10" xfId="23" applyNumberFormat="1" applyFont="1" applyFill="1" applyBorder="1" applyAlignment="1">
      <alignment vertical="center"/>
    </xf>
    <xf numFmtId="166" fontId="28" fillId="0" borderId="10" xfId="23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vertical="center"/>
    </xf>
    <xf numFmtId="166" fontId="27" fillId="0" borderId="10" xfId="23" applyNumberFormat="1" applyFont="1" applyFill="1" applyBorder="1" applyAlignment="1">
      <alignment vertical="center"/>
    </xf>
    <xf numFmtId="49" fontId="28" fillId="0" borderId="10" xfId="0" applyNumberFormat="1" applyFont="1" applyBorder="1" applyAlignment="1">
      <alignment horizontal="right" vertical="center"/>
    </xf>
    <xf numFmtId="166" fontId="28" fillId="16" borderId="10" xfId="23" applyNumberFormat="1" applyFont="1" applyFill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5" fillId="16" borderId="10" xfId="0" applyFont="1" applyFill="1" applyBorder="1" applyAlignment="1">
      <alignment horizontal="center" vertical="center" wrapText="1"/>
    </xf>
    <xf numFmtId="166" fontId="28" fillId="15" borderId="10" xfId="23" applyNumberFormat="1" applyFont="1" applyFill="1" applyBorder="1" applyAlignment="1">
      <alignment vertical="center" wrapText="1"/>
    </xf>
    <xf numFmtId="166" fontId="28" fillId="16" borderId="10" xfId="23" applyNumberFormat="1" applyFont="1" applyFill="1" applyBorder="1" applyAlignment="1">
      <alignment vertical="center" wrapText="1"/>
    </xf>
    <xf numFmtId="0" fontId="25" fillId="17" borderId="10" xfId="0" applyFont="1" applyFill="1" applyBorder="1" applyAlignment="1">
      <alignment horizontal="center" vertical="center" wrapText="1"/>
    </xf>
    <xf numFmtId="9" fontId="25" fillId="17" borderId="11" xfId="0" applyNumberFormat="1" applyFont="1" applyFill="1" applyBorder="1" applyAlignment="1">
      <alignment horizontal="center" vertical="center" textRotation="90" wrapText="1"/>
    </xf>
    <xf numFmtId="0" fontId="27" fillId="16" borderId="10" xfId="0" applyFont="1" applyFill="1" applyBorder="1" applyAlignment="1">
      <alignment horizontal="center" vertical="center" textRotation="90"/>
    </xf>
    <xf numFmtId="0" fontId="27" fillId="17" borderId="10" xfId="0" applyFont="1" applyFill="1" applyBorder="1" applyAlignment="1">
      <alignment horizontal="center" vertical="center" wrapText="1"/>
    </xf>
    <xf numFmtId="166" fontId="28" fillId="0" borderId="10" xfId="23" applyNumberFormat="1" applyFont="1" applyFill="1" applyBorder="1" applyAlignment="1">
      <alignment vertical="center" wrapText="1"/>
    </xf>
    <xf numFmtId="9" fontId="25" fillId="16" borderId="11" xfId="0" applyNumberFormat="1" applyFont="1" applyFill="1" applyBorder="1" applyAlignment="1">
      <alignment horizontal="center" vertical="center" textRotation="90"/>
    </xf>
    <xf numFmtId="9" fontId="27" fillId="17" borderId="10" xfId="0" applyNumberFormat="1" applyFont="1" applyFill="1" applyBorder="1" applyAlignment="1">
      <alignment horizontal="center" vertical="center" textRotation="90"/>
    </xf>
    <xf numFmtId="166" fontId="25" fillId="0" borderId="0" xfId="0" applyNumberFormat="1" applyFont="1"/>
    <xf numFmtId="0" fontId="29" fillId="0" borderId="0" xfId="0" applyFont="1" applyProtection="1">
      <protection locked="0"/>
    </xf>
    <xf numFmtId="1" fontId="30" fillId="0" borderId="0" xfId="0" applyNumberFormat="1" applyFont="1" applyAlignment="1" applyProtection="1">
      <alignment horizontal="center"/>
      <protection locked="0"/>
    </xf>
    <xf numFmtId="0" fontId="31" fillId="0" borderId="0" xfId="0" applyFont="1"/>
    <xf numFmtId="0" fontId="32" fillId="0" borderId="0" xfId="0" applyFont="1" applyProtection="1">
      <protection locked="0"/>
    </xf>
    <xf numFmtId="1" fontId="32" fillId="0" borderId="0" xfId="0" applyNumberFormat="1" applyFont="1" applyProtection="1">
      <protection locked="0"/>
    </xf>
    <xf numFmtId="0" fontId="29" fillId="19" borderId="0" xfId="0" applyFont="1" applyFill="1" applyProtection="1">
      <protection locked="0"/>
    </xf>
    <xf numFmtId="0" fontId="29" fillId="20" borderId="0" xfId="0" applyFont="1" applyFill="1" applyProtection="1">
      <protection locked="0"/>
    </xf>
    <xf numFmtId="0" fontId="29" fillId="21" borderId="0" xfId="0" applyFont="1" applyFill="1" applyProtection="1">
      <protection locked="0"/>
    </xf>
    <xf numFmtId="1" fontId="29" fillId="21" borderId="0" xfId="0" applyNumberFormat="1" applyFont="1" applyFill="1" applyProtection="1">
      <protection locked="0"/>
    </xf>
    <xf numFmtId="1" fontId="29" fillId="0" borderId="0" xfId="0" applyNumberFormat="1" applyFont="1" applyProtection="1">
      <protection locked="0"/>
    </xf>
    <xf numFmtId="1" fontId="29" fillId="20" borderId="0" xfId="0" applyNumberFormat="1" applyFont="1" applyFill="1" applyProtection="1">
      <protection locked="0"/>
    </xf>
    <xf numFmtId="1" fontId="34" fillId="16" borderId="0" xfId="0" applyNumberFormat="1" applyFont="1" applyFill="1" applyProtection="1">
      <protection locked="0"/>
    </xf>
    <xf numFmtId="1" fontId="30" fillId="16" borderId="16" xfId="0" applyNumberFormat="1" applyFont="1" applyFill="1" applyBorder="1" applyProtection="1">
      <protection locked="0"/>
    </xf>
    <xf numFmtId="1" fontId="30" fillId="16" borderId="17" xfId="0" applyNumberFormat="1" applyFont="1" applyFill="1" applyBorder="1" applyProtection="1">
      <protection locked="0"/>
    </xf>
    <xf numFmtId="49" fontId="30" fillId="16" borderId="18" xfId="0" applyNumberFormat="1" applyFont="1" applyFill="1" applyBorder="1" applyAlignment="1" applyProtection="1">
      <alignment horizontal="center"/>
      <protection locked="0"/>
    </xf>
    <xf numFmtId="1" fontId="30" fillId="0" borderId="18" xfId="0" applyNumberFormat="1" applyFont="1" applyBorder="1" applyAlignment="1" applyProtection="1">
      <alignment horizontal="center"/>
      <protection locked="0"/>
    </xf>
    <xf numFmtId="49" fontId="30" fillId="0" borderId="18" xfId="0" applyNumberFormat="1" applyFont="1" applyBorder="1" applyAlignment="1" applyProtection="1">
      <alignment horizontal="center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" fontId="29" fillId="16" borderId="10" xfId="0" applyNumberFormat="1" applyFont="1" applyFill="1" applyBorder="1" applyAlignment="1" applyProtection="1">
      <alignment horizontal="center"/>
      <protection locked="0"/>
    </xf>
    <xf numFmtId="0" fontId="29" fillId="16" borderId="22" xfId="0" applyFont="1" applyFill="1" applyBorder="1" applyAlignment="1" applyProtection="1">
      <alignment horizontal="center"/>
      <protection locked="0"/>
    </xf>
    <xf numFmtId="1" fontId="29" fillId="0" borderId="22" xfId="0" applyNumberFormat="1" applyFont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/>
      <protection locked="0"/>
    </xf>
    <xf numFmtId="1" fontId="30" fillId="0" borderId="23" xfId="0" applyNumberFormat="1" applyFont="1" applyBorder="1" applyAlignment="1">
      <alignment horizontal="center"/>
    </xf>
    <xf numFmtId="0" fontId="29" fillId="16" borderId="25" xfId="0" applyFont="1" applyFill="1" applyBorder="1" applyAlignment="1" applyProtection="1">
      <alignment horizontal="center"/>
      <protection locked="0"/>
    </xf>
    <xf numFmtId="1" fontId="29" fillId="0" borderId="25" xfId="0" applyNumberFormat="1" applyFont="1" applyBorder="1" applyAlignment="1" applyProtection="1">
      <alignment horizontal="center"/>
      <protection locked="0"/>
    </xf>
    <xf numFmtId="0" fontId="29" fillId="0" borderId="25" xfId="0" applyFont="1" applyBorder="1" applyAlignment="1" applyProtection="1">
      <alignment horizontal="center"/>
      <protection locked="0"/>
    </xf>
    <xf numFmtId="0" fontId="30" fillId="0" borderId="26" xfId="0" applyFont="1" applyBorder="1" applyAlignment="1" applyProtection="1">
      <alignment horizontal="center"/>
      <protection locked="0"/>
    </xf>
    <xf numFmtId="0" fontId="29" fillId="16" borderId="27" xfId="0" applyFont="1" applyFill="1" applyBorder="1" applyAlignment="1" applyProtection="1">
      <alignment horizontal="center"/>
      <protection locked="0"/>
    </xf>
    <xf numFmtId="1" fontId="29" fillId="0" borderId="27" xfId="0" applyNumberFormat="1" applyFont="1" applyBorder="1" applyAlignment="1" applyProtection="1">
      <alignment horizontal="center"/>
      <protection locked="0"/>
    </xf>
    <xf numFmtId="0" fontId="29" fillId="0" borderId="27" xfId="0" applyFont="1" applyBorder="1" applyAlignment="1" applyProtection="1">
      <alignment horizontal="center"/>
      <protection locked="0"/>
    </xf>
    <xf numFmtId="1" fontId="30" fillId="0" borderId="26" xfId="0" applyNumberFormat="1" applyFont="1" applyBorder="1" applyAlignment="1">
      <alignment horizontal="center"/>
    </xf>
    <xf numFmtId="1" fontId="29" fillId="16" borderId="10" xfId="0" applyNumberFormat="1" applyFont="1" applyFill="1" applyBorder="1" applyProtection="1">
      <protection locked="0"/>
    </xf>
    <xf numFmtId="165" fontId="29" fillId="0" borderId="22" xfId="0" applyNumberFormat="1" applyFont="1" applyBorder="1" applyAlignment="1" applyProtection="1">
      <alignment horizontal="center"/>
      <protection locked="0"/>
    </xf>
    <xf numFmtId="165" fontId="30" fillId="0" borderId="26" xfId="0" applyNumberFormat="1" applyFont="1" applyBorder="1" applyAlignment="1">
      <alignment horizontal="center"/>
    </xf>
    <xf numFmtId="1" fontId="34" fillId="0" borderId="0" xfId="0" applyNumberFormat="1" applyFont="1" applyProtection="1">
      <protection locked="0"/>
    </xf>
    <xf numFmtId="165" fontId="30" fillId="0" borderId="26" xfId="0" applyNumberFormat="1" applyFont="1" applyBorder="1" applyAlignment="1" applyProtection="1">
      <alignment horizontal="center"/>
      <protection locked="0"/>
    </xf>
    <xf numFmtId="1" fontId="29" fillId="0" borderId="10" xfId="0" applyNumberFormat="1" applyFont="1" applyBorder="1" applyAlignment="1" applyProtection="1">
      <alignment horizontal="center"/>
      <protection locked="0"/>
    </xf>
    <xf numFmtId="1" fontId="29" fillId="0" borderId="10" xfId="0" applyNumberFormat="1" applyFont="1" applyBorder="1" applyProtection="1"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29" fillId="0" borderId="25" xfId="0" applyFont="1" applyBorder="1" applyProtection="1">
      <protection locked="0"/>
    </xf>
    <xf numFmtId="1" fontId="29" fillId="0" borderId="25" xfId="0" applyNumberFormat="1" applyFont="1" applyBorder="1" applyProtection="1">
      <protection locked="0"/>
    </xf>
    <xf numFmtId="165" fontId="29" fillId="0" borderId="26" xfId="0" applyNumberFormat="1" applyFont="1" applyBorder="1" applyProtection="1">
      <protection locked="0"/>
    </xf>
    <xf numFmtId="0" fontId="30" fillId="0" borderId="0" xfId="0" applyFont="1" applyProtection="1">
      <protection locked="0"/>
    </xf>
    <xf numFmtId="1" fontId="30" fillId="0" borderId="0" xfId="0" applyNumberFormat="1" applyFont="1" applyProtection="1">
      <protection locked="0"/>
    </xf>
    <xf numFmtId="0" fontId="30" fillId="0" borderId="0" xfId="0" applyFont="1" applyAlignment="1" applyProtection="1">
      <alignment horizontal="left" vertical="center"/>
      <protection locked="0"/>
    </xf>
    <xf numFmtId="1" fontId="29" fillId="0" borderId="21" xfId="0" applyNumberFormat="1" applyFont="1" applyBorder="1" applyAlignment="1" applyProtection="1">
      <alignment horizontal="center"/>
      <protection locked="0"/>
    </xf>
    <xf numFmtId="1" fontId="29" fillId="0" borderId="24" xfId="0" applyNumberFormat="1" applyFont="1" applyBorder="1" applyAlignment="1" applyProtection="1">
      <alignment horizontal="center"/>
      <protection locked="0"/>
    </xf>
    <xf numFmtId="0" fontId="29" fillId="0" borderId="2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1" fontId="37" fillId="0" borderId="24" xfId="0" applyNumberFormat="1" applyFont="1" applyBorder="1" applyAlignment="1" applyProtection="1">
      <alignment horizontal="center"/>
      <protection locked="0"/>
    </xf>
    <xf numFmtId="0" fontId="37" fillId="0" borderId="25" xfId="0" applyFont="1" applyBorder="1" applyProtection="1">
      <protection locked="0"/>
    </xf>
    <xf numFmtId="1" fontId="37" fillId="0" borderId="25" xfId="0" applyNumberFormat="1" applyFont="1" applyBorder="1" applyProtection="1">
      <protection locked="0"/>
    </xf>
    <xf numFmtId="1" fontId="29" fillId="0" borderId="30" xfId="0" applyNumberFormat="1" applyFont="1" applyBorder="1" applyAlignment="1" applyProtection="1">
      <alignment horizontal="center"/>
      <protection locked="0"/>
    </xf>
    <xf numFmtId="0" fontId="29" fillId="0" borderId="27" xfId="0" applyFont="1" applyBorder="1" applyProtection="1">
      <protection locked="0"/>
    </xf>
    <xf numFmtId="1" fontId="29" fillId="0" borderId="27" xfId="0" applyNumberFormat="1" applyFont="1" applyBorder="1" applyProtection="1">
      <protection locked="0"/>
    </xf>
    <xf numFmtId="0" fontId="40" fillId="16" borderId="10" xfId="0" applyFont="1" applyFill="1" applyBorder="1" applyAlignment="1">
      <alignment horizontal="right" vertical="center" wrapText="1"/>
    </xf>
    <xf numFmtId="0" fontId="25" fillId="17" borderId="11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textRotation="90" wrapText="1"/>
    </xf>
    <xf numFmtId="2" fontId="27" fillId="0" borderId="13" xfId="0" applyNumberFormat="1" applyFont="1" applyBorder="1" applyAlignment="1">
      <alignment vertical="center" wrapText="1"/>
    </xf>
    <xf numFmtId="2" fontId="27" fillId="0" borderId="15" xfId="0" applyNumberFormat="1" applyFont="1" applyBorder="1" applyAlignment="1">
      <alignment vertical="center" wrapText="1"/>
    </xf>
    <xf numFmtId="2" fontId="27" fillId="0" borderId="14" xfId="0" applyNumberFormat="1" applyFont="1" applyBorder="1" applyAlignment="1">
      <alignment vertical="center" wrapText="1"/>
    </xf>
    <xf numFmtId="9" fontId="25" fillId="17" borderId="32" xfId="0" applyNumberFormat="1" applyFont="1" applyFill="1" applyBorder="1" applyAlignment="1">
      <alignment horizontal="center" vertical="center" textRotation="90"/>
    </xf>
    <xf numFmtId="9" fontId="27" fillId="17" borderId="13" xfId="0" applyNumberFormat="1" applyFont="1" applyFill="1" applyBorder="1" applyAlignment="1">
      <alignment horizontal="center" vertical="center" textRotation="90"/>
    </xf>
    <xf numFmtId="0" fontId="39" fillId="15" borderId="10" xfId="0" applyFont="1" applyFill="1" applyBorder="1" applyAlignment="1">
      <alignment horizontal="center" wrapText="1"/>
    </xf>
    <xf numFmtId="0" fontId="28" fillId="0" borderId="10" xfId="0" applyFont="1" applyBorder="1" applyAlignment="1">
      <alignment wrapText="1"/>
    </xf>
    <xf numFmtId="0" fontId="28" fillId="15" borderId="10" xfId="0" applyFont="1" applyFill="1" applyBorder="1" applyAlignment="1">
      <alignment horizontal="left" vertical="center" wrapText="1"/>
    </xf>
    <xf numFmtId="0" fontId="28" fillId="16" borderId="10" xfId="0" applyFont="1" applyFill="1" applyBorder="1" applyAlignment="1">
      <alignment wrapText="1"/>
    </xf>
    <xf numFmtId="0" fontId="39" fillId="16" borderId="10" xfId="0" applyFont="1" applyFill="1" applyBorder="1" applyAlignment="1">
      <alignment horizontal="center" wrapText="1"/>
    </xf>
    <xf numFmtId="0" fontId="44" fillId="15" borderId="10" xfId="0" applyFont="1" applyFill="1" applyBorder="1" applyAlignment="1">
      <alignment horizontal="center" wrapText="1"/>
    </xf>
    <xf numFmtId="0" fontId="41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horizontal="center" wrapText="1"/>
    </xf>
    <xf numFmtId="0" fontId="44" fillId="18" borderId="10" xfId="0" applyFont="1" applyFill="1" applyBorder="1" applyAlignment="1">
      <alignment horizontal="center" wrapText="1"/>
    </xf>
    <xf numFmtId="0" fontId="41" fillId="18" borderId="10" xfId="0" applyFont="1" applyFill="1" applyBorder="1" applyAlignment="1">
      <alignment horizontal="center" wrapText="1"/>
    </xf>
    <xf numFmtId="2" fontId="39" fillId="15" borderId="10" xfId="0" applyNumberFormat="1" applyFont="1" applyFill="1" applyBorder="1" applyAlignment="1">
      <alignment horizontal="center" wrapText="1"/>
    </xf>
    <xf numFmtId="2" fontId="39" fillId="16" borderId="10" xfId="0" applyNumberFormat="1" applyFont="1" applyFill="1" applyBorder="1" applyAlignment="1">
      <alignment horizontal="center" wrapText="1"/>
    </xf>
    <xf numFmtId="0" fontId="39" fillId="16" borderId="10" xfId="25" applyFont="1" applyFill="1" applyBorder="1" applyAlignment="1">
      <alignment horizontal="center" wrapText="1"/>
    </xf>
    <xf numFmtId="0" fontId="45" fillId="16" borderId="10" xfId="0" applyFont="1" applyFill="1" applyBorder="1" applyAlignment="1">
      <alignment horizontal="center"/>
    </xf>
    <xf numFmtId="167" fontId="28" fillId="15" borderId="10" xfId="23" applyNumberFormat="1" applyFont="1" applyFill="1" applyBorder="1" applyAlignment="1">
      <alignment vertical="center" wrapText="1"/>
    </xf>
    <xf numFmtId="167" fontId="28" fillId="16" borderId="10" xfId="23" applyNumberFormat="1" applyFont="1" applyFill="1" applyBorder="1" applyAlignment="1">
      <alignment vertical="center" wrapText="1"/>
    </xf>
    <xf numFmtId="167" fontId="28" fillId="0" borderId="10" xfId="23" applyNumberFormat="1" applyFont="1" applyFill="1" applyBorder="1" applyAlignment="1">
      <alignment vertical="center" wrapText="1"/>
    </xf>
    <xf numFmtId="165" fontId="28" fillId="0" borderId="10" xfId="0" applyNumberFormat="1" applyFont="1" applyBorder="1" applyAlignment="1">
      <alignment vertical="center"/>
    </xf>
    <xf numFmtId="165" fontId="28" fillId="15" borderId="10" xfId="0" applyNumberFormat="1" applyFont="1" applyFill="1" applyBorder="1" applyAlignment="1">
      <alignment vertical="center"/>
    </xf>
    <xf numFmtId="165" fontId="28" fillId="16" borderId="10" xfId="0" applyNumberFormat="1" applyFont="1" applyFill="1" applyBorder="1" applyAlignment="1">
      <alignment vertical="center"/>
    </xf>
    <xf numFmtId="2" fontId="33" fillId="16" borderId="20" xfId="0" applyNumberFormat="1" applyFont="1" applyFill="1" applyBorder="1" applyProtection="1">
      <protection locked="0"/>
    </xf>
    <xf numFmtId="0" fontId="35" fillId="16" borderId="20" xfId="0" applyFont="1" applyFill="1" applyBorder="1" applyAlignment="1" applyProtection="1">
      <alignment wrapText="1"/>
      <protection locked="0"/>
    </xf>
    <xf numFmtId="0" fontId="42" fillId="16" borderId="20" xfId="0" applyFont="1" applyFill="1" applyBorder="1" applyAlignment="1" applyProtection="1">
      <alignment wrapText="1"/>
      <protection locked="0"/>
    </xf>
    <xf numFmtId="9" fontId="25" fillId="16" borderId="13" xfId="0" applyNumberFormat="1" applyFont="1" applyFill="1" applyBorder="1" applyAlignment="1">
      <alignment wrapText="1"/>
    </xf>
    <xf numFmtId="9" fontId="25" fillId="16" borderId="14" xfId="0" applyNumberFormat="1" applyFont="1" applyFill="1" applyBorder="1" applyAlignment="1">
      <alignment wrapText="1"/>
    </xf>
    <xf numFmtId="0" fontId="25" fillId="0" borderId="0" xfId="0" applyFont="1" applyProtection="1">
      <protection locked="0"/>
    </xf>
    <xf numFmtId="0" fontId="30" fillId="0" borderId="10" xfId="0" applyFont="1" applyBorder="1" applyProtection="1">
      <protection locked="0"/>
    </xf>
    <xf numFmtId="0" fontId="47" fillId="0" borderId="0" xfId="27" applyFont="1"/>
    <xf numFmtId="0" fontId="47" fillId="16" borderId="0" xfId="27" applyFont="1" applyFill="1"/>
    <xf numFmtId="0" fontId="28" fillId="0" borderId="0" xfId="27" applyFont="1" applyAlignment="1" applyProtection="1">
      <alignment wrapText="1"/>
      <protection locked="0"/>
    </xf>
    <xf numFmtId="0" fontId="28" fillId="16" borderId="0" xfId="27" applyFont="1" applyFill="1" applyAlignment="1" applyProtection="1">
      <alignment wrapText="1"/>
      <protection locked="0"/>
    </xf>
    <xf numFmtId="0" fontId="28" fillId="0" borderId="0" xfId="27" applyFont="1" applyProtection="1">
      <protection locked="0"/>
    </xf>
    <xf numFmtId="0" fontId="27" fillId="0" borderId="0" xfId="27" applyFont="1" applyProtection="1">
      <protection locked="0"/>
    </xf>
    <xf numFmtId="0" fontId="27" fillId="16" borderId="0" xfId="27" applyFont="1" applyFill="1" applyProtection="1">
      <protection locked="0"/>
    </xf>
    <xf numFmtId="2" fontId="28" fillId="0" borderId="0" xfId="27" applyNumberFormat="1" applyFont="1" applyProtection="1">
      <protection locked="0"/>
    </xf>
    <xf numFmtId="0" fontId="28" fillId="0" borderId="0" xfId="27" applyFont="1" applyAlignment="1">
      <alignment wrapText="1"/>
    </xf>
    <xf numFmtId="0" fontId="28" fillId="16" borderId="0" xfId="27" applyFont="1" applyFill="1" applyAlignment="1">
      <alignment wrapText="1"/>
    </xf>
    <xf numFmtId="2" fontId="28" fillId="0" borderId="10" xfId="27" applyNumberFormat="1" applyFont="1" applyBorder="1" applyAlignment="1">
      <alignment wrapText="1"/>
    </xf>
    <xf numFmtId="0" fontId="28" fillId="16" borderId="10" xfId="27" applyFont="1" applyFill="1" applyBorder="1"/>
    <xf numFmtId="0" fontId="27" fillId="16" borderId="10" xfId="27" applyFont="1" applyFill="1" applyBorder="1" applyAlignment="1">
      <alignment horizontal="left"/>
    </xf>
    <xf numFmtId="2" fontId="28" fillId="16" borderId="10" xfId="27" applyNumberFormat="1" applyFont="1" applyFill="1" applyBorder="1" applyAlignment="1">
      <alignment wrapText="1"/>
    </xf>
    <xf numFmtId="0" fontId="28" fillId="16" borderId="10" xfId="27" applyFont="1" applyFill="1" applyBorder="1" applyAlignment="1">
      <alignment wrapText="1"/>
    </xf>
    <xf numFmtId="0" fontId="48" fillId="16" borderId="10" xfId="27" applyFont="1" applyFill="1" applyBorder="1" applyAlignment="1">
      <alignment wrapText="1"/>
    </xf>
    <xf numFmtId="0" fontId="48" fillId="0" borderId="10" xfId="27" applyFont="1" applyBorder="1" applyAlignment="1">
      <alignment wrapText="1"/>
    </xf>
    <xf numFmtId="0" fontId="28" fillId="16" borderId="10" xfId="27" applyFont="1" applyFill="1" applyBorder="1" applyAlignment="1">
      <alignment horizontal="center" wrapText="1"/>
    </xf>
    <xf numFmtId="0" fontId="28" fillId="0" borderId="10" xfId="27" applyFont="1" applyBorder="1" applyAlignment="1">
      <alignment wrapText="1"/>
    </xf>
    <xf numFmtId="0" fontId="27" fillId="0" borderId="10" xfId="27" applyFont="1" applyBorder="1" applyAlignment="1">
      <alignment wrapText="1"/>
    </xf>
    <xf numFmtId="2" fontId="27" fillId="0" borderId="10" xfId="27" applyNumberFormat="1" applyFont="1" applyBorder="1" applyAlignment="1">
      <alignment horizontal="right" wrapText="1"/>
    </xf>
    <xf numFmtId="0" fontId="28" fillId="0" borderId="10" xfId="27" applyFont="1" applyBorder="1" applyAlignment="1">
      <alignment horizontal="right" wrapText="1"/>
    </xf>
    <xf numFmtId="0" fontId="27" fillId="0" borderId="10" xfId="27" applyFont="1" applyBorder="1" applyAlignment="1">
      <alignment horizontal="right" wrapText="1"/>
    </xf>
    <xf numFmtId="0" fontId="28" fillId="0" borderId="10" xfId="27" applyFont="1" applyBorder="1" applyAlignment="1">
      <alignment horizontal="center" vertical="center" wrapText="1"/>
    </xf>
    <xf numFmtId="0" fontId="49" fillId="0" borderId="0" xfId="27" applyFont="1"/>
    <xf numFmtId="0" fontId="27" fillId="0" borderId="10" xfId="27" applyFont="1" applyBorder="1" applyAlignment="1">
      <alignment horizontal="center" vertical="center" wrapText="1"/>
    </xf>
    <xf numFmtId="0" fontId="27" fillId="0" borderId="11" xfId="27" applyFont="1" applyBorder="1" applyAlignment="1">
      <alignment horizontal="center" vertical="center" wrapText="1"/>
    </xf>
    <xf numFmtId="0" fontId="27" fillId="0" borderId="10" xfId="27" applyFont="1" applyBorder="1" applyAlignment="1">
      <alignment vertical="center" wrapText="1"/>
    </xf>
    <xf numFmtId="9" fontId="27" fillId="0" borderId="10" xfId="27" applyNumberFormat="1" applyFont="1" applyBorder="1" applyAlignment="1">
      <alignment horizontal="center" vertical="center" wrapText="1"/>
    </xf>
    <xf numFmtId="0" fontId="28" fillId="0" borderId="14" xfId="27" applyFont="1" applyBorder="1" applyAlignment="1">
      <alignment vertical="center" wrapText="1"/>
    </xf>
    <xf numFmtId="0" fontId="28" fillId="0" borderId="15" xfId="27" applyFont="1" applyBorder="1" applyAlignment="1">
      <alignment vertical="center" wrapText="1"/>
    </xf>
    <xf numFmtId="0" fontId="27" fillId="0" borderId="31" xfId="27" applyFont="1" applyBorder="1" applyAlignment="1">
      <alignment horizontal="center" vertical="center" wrapText="1"/>
    </xf>
    <xf numFmtId="0" fontId="28" fillId="0" borderId="35" xfId="27" applyFont="1" applyBorder="1" applyAlignment="1">
      <alignment wrapText="1"/>
    </xf>
    <xf numFmtId="0" fontId="27" fillId="0" borderId="35" xfId="27" applyFont="1" applyBorder="1" applyAlignment="1">
      <alignment horizontal="center" wrapText="1"/>
    </xf>
    <xf numFmtId="0" fontId="27" fillId="16" borderId="0" xfId="27" applyFont="1" applyFill="1" applyAlignment="1">
      <alignment wrapText="1"/>
    </xf>
    <xf numFmtId="0" fontId="27" fillId="0" borderId="0" xfId="27" applyFont="1" applyAlignment="1">
      <alignment wrapText="1"/>
    </xf>
    <xf numFmtId="0" fontId="50" fillId="0" borderId="0" xfId="27" applyFont="1"/>
    <xf numFmtId="0" fontId="26" fillId="0" borderId="0" xfId="27" applyFont="1"/>
    <xf numFmtId="4" fontId="26" fillId="0" borderId="0" xfId="27" applyNumberFormat="1" applyFont="1"/>
    <xf numFmtId="165" fontId="26" fillId="16" borderId="0" xfId="27" applyNumberFormat="1" applyFont="1" applyFill="1"/>
    <xf numFmtId="0" fontId="25" fillId="0" borderId="0" xfId="27" applyFont="1"/>
    <xf numFmtId="0" fontId="25" fillId="16" borderId="0" xfId="27" applyFont="1" applyFill="1"/>
    <xf numFmtId="0" fontId="26" fillId="16" borderId="0" xfId="27" applyFont="1" applyFill="1"/>
    <xf numFmtId="4" fontId="25" fillId="0" borderId="0" xfId="27" applyNumberFormat="1" applyFont="1"/>
    <xf numFmtId="165" fontId="25" fillId="16" borderId="0" xfId="27" applyNumberFormat="1" applyFont="1" applyFill="1"/>
    <xf numFmtId="0" fontId="50" fillId="0" borderId="35" xfId="27" applyFont="1" applyBorder="1"/>
    <xf numFmtId="0" fontId="25" fillId="16" borderId="35" xfId="27" applyFont="1" applyFill="1" applyBorder="1"/>
    <xf numFmtId="0" fontId="51" fillId="0" borderId="0" xfId="27" applyFont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8" fillId="16" borderId="10" xfId="0" applyFont="1" applyFill="1" applyBorder="1" applyAlignment="1">
      <alignment horizontal="center" wrapText="1"/>
    </xf>
    <xf numFmtId="2" fontId="28" fillId="16" borderId="10" xfId="0" applyNumberFormat="1" applyFont="1" applyFill="1" applyBorder="1" applyAlignment="1">
      <alignment wrapText="1"/>
    </xf>
    <xf numFmtId="2" fontId="28" fillId="0" borderId="10" xfId="0" applyNumberFormat="1" applyFont="1" applyBorder="1" applyAlignment="1">
      <alignment wrapText="1"/>
    </xf>
    <xf numFmtId="0" fontId="27" fillId="16" borderId="10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0" fontId="48" fillId="0" borderId="10" xfId="27" applyFont="1" applyBorder="1" applyAlignment="1">
      <alignment horizontal="right" wrapText="1"/>
    </xf>
    <xf numFmtId="0" fontId="48" fillId="0" borderId="10" xfId="0" applyFont="1" applyBorder="1" applyAlignment="1">
      <alignment horizontal="right" wrapText="1"/>
    </xf>
    <xf numFmtId="0" fontId="48" fillId="16" borderId="10" xfId="27" applyFont="1" applyFill="1" applyBorder="1" applyAlignment="1">
      <alignment horizontal="right" wrapText="1"/>
    </xf>
    <xf numFmtId="0" fontId="48" fillId="16" borderId="10" xfId="0" applyFont="1" applyFill="1" applyBorder="1" applyAlignment="1">
      <alignment horizontal="right" wrapText="1"/>
    </xf>
    <xf numFmtId="0" fontId="43" fillId="0" borderId="10" xfId="0" applyFont="1" applyBorder="1" applyAlignment="1">
      <alignment horizontal="left" vertical="center" wrapText="1"/>
    </xf>
    <xf numFmtId="0" fontId="28" fillId="16" borderId="11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15" borderId="11" xfId="0" applyFont="1" applyFill="1" applyBorder="1" applyAlignment="1">
      <alignment horizontal="left" vertical="center" wrapText="1"/>
    </xf>
    <xf numFmtId="0" fontId="28" fillId="16" borderId="10" xfId="0" applyFont="1" applyFill="1" applyBorder="1" applyAlignment="1">
      <alignment horizontal="left" vertical="center" wrapText="1"/>
    </xf>
    <xf numFmtId="0" fontId="28" fillId="16" borderId="12" xfId="0" applyFont="1" applyFill="1" applyBorder="1" applyAlignment="1">
      <alignment horizontal="left" vertical="center" wrapText="1"/>
    </xf>
    <xf numFmtId="0" fontId="28" fillId="0" borderId="12" xfId="27" applyFont="1" applyBorder="1" applyAlignment="1">
      <alignment horizontal="center" vertical="center" wrapText="1"/>
    </xf>
    <xf numFmtId="0" fontId="28" fillId="0" borderId="10" xfId="27" applyFont="1" applyBorder="1" applyAlignment="1">
      <alignment vertical="center" wrapText="1"/>
    </xf>
    <xf numFmtId="1" fontId="28" fillId="0" borderId="13" xfId="0" applyNumberFormat="1" applyFont="1" applyBorder="1" applyAlignment="1">
      <alignment vertical="center"/>
    </xf>
    <xf numFmtId="0" fontId="27" fillId="15" borderId="14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vertical="center"/>
    </xf>
    <xf numFmtId="0" fontId="28" fillId="15" borderId="14" xfId="0" applyFont="1" applyFill="1" applyBorder="1" applyAlignment="1">
      <alignment vertical="center"/>
    </xf>
    <xf numFmtId="0" fontId="28" fillId="16" borderId="14" xfId="0" applyFont="1" applyFill="1" applyBorder="1" applyAlignment="1">
      <alignment vertical="center"/>
    </xf>
    <xf numFmtId="0" fontId="21" fillId="0" borderId="10" xfId="0" applyFont="1" applyBorder="1"/>
    <xf numFmtId="0" fontId="48" fillId="0" borderId="10" xfId="0" applyFont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6" borderId="10" xfId="0" applyFont="1" applyFill="1" applyBorder="1" applyAlignment="1">
      <alignment vertical="center"/>
    </xf>
    <xf numFmtId="0" fontId="28" fillId="15" borderId="10" xfId="0" applyFont="1" applyFill="1" applyBorder="1" applyAlignment="1">
      <alignment vertical="center" wrapText="1"/>
    </xf>
    <xf numFmtId="0" fontId="28" fillId="0" borderId="11" xfId="27" applyFont="1" applyBorder="1" applyAlignment="1">
      <alignment horizontal="center" vertical="center" wrapText="1"/>
    </xf>
    <xf numFmtId="0" fontId="28" fillId="0" borderId="13" xfId="27" applyFont="1" applyBorder="1" applyAlignment="1">
      <alignment horizontal="center" vertical="center" wrapText="1"/>
    </xf>
    <xf numFmtId="0" fontId="28" fillId="16" borderId="14" xfId="0" applyFont="1" applyFill="1" applyBorder="1" applyAlignment="1">
      <alignment wrapText="1"/>
    </xf>
    <xf numFmtId="0" fontId="28" fillId="0" borderId="31" xfId="27" applyFont="1" applyBorder="1" applyAlignment="1">
      <alignment horizontal="center" vertical="center" wrapText="1"/>
    </xf>
    <xf numFmtId="0" fontId="26" fillId="0" borderId="10" xfId="27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/>
    </xf>
    <xf numFmtId="0" fontId="23" fillId="0" borderId="12" xfId="0" applyFont="1" applyBorder="1" applyAlignment="1">
      <alignment vertical="center"/>
    </xf>
    <xf numFmtId="0" fontId="28" fillId="15" borderId="11" xfId="0" applyFont="1" applyFill="1" applyBorder="1" applyAlignment="1">
      <alignment vertical="center" wrapText="1"/>
    </xf>
    <xf numFmtId="0" fontId="27" fillId="0" borderId="0" xfId="27" applyFont="1" applyAlignment="1" applyProtection="1">
      <alignment horizontal="center"/>
      <protection locked="0"/>
    </xf>
    <xf numFmtId="0" fontId="27" fillId="0" borderId="10" xfId="27" applyFont="1" applyBorder="1" applyAlignment="1">
      <alignment horizontal="center" wrapText="1"/>
    </xf>
    <xf numFmtId="0" fontId="51" fillId="0" borderId="0" xfId="27" applyFont="1" applyAlignment="1">
      <alignment horizontal="center" vertical="center" wrapText="1"/>
    </xf>
    <xf numFmtId="2" fontId="27" fillId="16" borderId="10" xfId="27" applyNumberFormat="1" applyFont="1" applyFill="1" applyBorder="1" applyAlignment="1">
      <alignment horizontal="right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4" fillId="16" borderId="0" xfId="0" applyFont="1" applyFill="1" applyProtection="1">
      <protection locked="0"/>
    </xf>
    <xf numFmtId="2" fontId="33" fillId="16" borderId="0" xfId="0" applyNumberFormat="1" applyFont="1" applyFill="1" applyProtection="1">
      <protection locked="0"/>
    </xf>
    <xf numFmtId="0" fontId="35" fillId="16" borderId="0" xfId="0" applyFont="1" applyFill="1" applyAlignment="1" applyProtection="1">
      <alignment wrapText="1"/>
      <protection locked="0"/>
    </xf>
    <xf numFmtId="0" fontId="33" fillId="0" borderId="0" xfId="0" applyFont="1" applyAlignment="1" applyProtection="1">
      <alignment wrapText="1"/>
      <protection locked="0"/>
    </xf>
    <xf numFmtId="0" fontId="42" fillId="16" borderId="0" xfId="0" applyFont="1" applyFill="1" applyAlignment="1" applyProtection="1">
      <alignment wrapText="1"/>
      <protection locked="0"/>
    </xf>
    <xf numFmtId="1" fontId="33" fillId="16" borderId="0" xfId="0" applyNumberFormat="1" applyFont="1" applyFill="1" applyProtection="1">
      <protection locked="0"/>
    </xf>
    <xf numFmtId="1" fontId="33" fillId="16" borderId="0" xfId="0" applyNumberFormat="1" applyFont="1" applyFill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1" fontId="36" fillId="0" borderId="0" xfId="0" applyNumberFormat="1" applyFont="1" applyProtection="1">
      <protection locked="0"/>
    </xf>
    <xf numFmtId="0" fontId="23" fillId="0" borderId="11" xfId="0" applyFont="1" applyBorder="1" applyAlignment="1">
      <alignment vertical="center"/>
    </xf>
    <xf numFmtId="0" fontId="28" fillId="15" borderId="12" xfId="0" applyFont="1" applyFill="1" applyBorder="1" applyAlignment="1">
      <alignment horizontal="left" vertical="center" wrapText="1"/>
    </xf>
    <xf numFmtId="0" fontId="28" fillId="0" borderId="11" xfId="27" applyFont="1" applyBorder="1" applyAlignment="1">
      <alignment vertical="center" wrapText="1"/>
    </xf>
    <xf numFmtId="0" fontId="45" fillId="18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0" fontId="26" fillId="15" borderId="10" xfId="0" applyFont="1" applyFill="1" applyBorder="1" applyAlignment="1">
      <alignment horizontal="left" vertical="center" wrapText="1"/>
    </xf>
    <xf numFmtId="0" fontId="26" fillId="15" borderId="11" xfId="0" applyFont="1" applyFill="1" applyBorder="1" applyAlignment="1">
      <alignment horizontal="left" vertical="center" wrapText="1"/>
    </xf>
    <xf numFmtId="0" fontId="26" fillId="0" borderId="10" xfId="27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26" fillId="0" borderId="12" xfId="27" applyFont="1" applyBorder="1" applyAlignment="1">
      <alignment horizontal="left" vertical="center" wrapText="1"/>
    </xf>
    <xf numFmtId="0" fontId="26" fillId="0" borderId="11" xfId="27" applyFont="1" applyBorder="1" applyAlignment="1">
      <alignment horizontal="left" wrapText="1"/>
    </xf>
    <xf numFmtId="0" fontId="26" fillId="0" borderId="11" xfId="27" applyFont="1" applyBorder="1" applyAlignment="1">
      <alignment horizontal="left" vertical="center" wrapText="1"/>
    </xf>
    <xf numFmtId="0" fontId="29" fillId="0" borderId="24" xfId="0" applyFont="1" applyBorder="1" applyAlignment="1" applyProtection="1">
      <alignment horizontal="left"/>
      <protection locked="0"/>
    </xf>
    <xf numFmtId="0" fontId="29" fillId="0" borderId="25" xfId="0" applyFont="1" applyBorder="1" applyAlignment="1" applyProtection="1">
      <alignment horizontal="left"/>
      <protection locked="0"/>
    </xf>
    <xf numFmtId="0" fontId="27" fillId="0" borderId="1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17" borderId="13" xfId="0" applyFont="1" applyFill="1" applyBorder="1" applyAlignment="1">
      <alignment horizontal="center" vertical="center" wrapText="1"/>
    </xf>
    <xf numFmtId="0" fontId="27" fillId="17" borderId="15" xfId="0" applyFont="1" applyFill="1" applyBorder="1" applyAlignment="1">
      <alignment horizontal="center" vertical="center" wrapText="1"/>
    </xf>
    <xf numFmtId="0" fontId="29" fillId="0" borderId="40" xfId="0" applyFont="1" applyBorder="1" applyAlignment="1" applyProtection="1">
      <alignment horizontal="left"/>
      <protection locked="0"/>
    </xf>
    <xf numFmtId="0" fontId="29" fillId="0" borderId="29" xfId="0" applyFont="1" applyBorder="1" applyAlignment="1" applyProtection="1">
      <alignment horizontal="left"/>
      <protection locked="0"/>
    </xf>
    <xf numFmtId="0" fontId="38" fillId="0" borderId="40" xfId="0" applyFont="1" applyBorder="1" applyAlignment="1" applyProtection="1">
      <alignment horizontal="left"/>
      <protection locked="0"/>
    </xf>
    <xf numFmtId="0" fontId="38" fillId="0" borderId="29" xfId="0" applyFont="1" applyBorder="1" applyAlignment="1" applyProtection="1">
      <alignment horizontal="left"/>
      <protection locked="0"/>
    </xf>
    <xf numFmtId="0" fontId="27" fillId="17" borderId="14" xfId="0" applyFont="1" applyFill="1" applyBorder="1" applyAlignment="1">
      <alignment horizontal="center" vertical="center" wrapText="1"/>
    </xf>
    <xf numFmtId="1" fontId="27" fillId="18" borderId="12" xfId="0" applyNumberFormat="1" applyFont="1" applyFill="1" applyBorder="1" applyAlignment="1">
      <alignment horizontal="center" vertical="center" wrapText="1"/>
    </xf>
    <xf numFmtId="1" fontId="27" fillId="18" borderId="11" xfId="0" applyNumberFormat="1" applyFont="1" applyFill="1" applyBorder="1" applyAlignment="1">
      <alignment horizontal="center" vertical="center" wrapText="1"/>
    </xf>
    <xf numFmtId="9" fontId="25" fillId="16" borderId="10" xfId="0" applyNumberFormat="1" applyFont="1" applyFill="1" applyBorder="1" applyAlignment="1">
      <alignment horizontal="center"/>
    </xf>
    <xf numFmtId="0" fontId="29" fillId="0" borderId="27" xfId="0" applyFont="1" applyBorder="1" applyAlignment="1" applyProtection="1">
      <alignment horizontal="left"/>
      <protection locked="0"/>
    </xf>
    <xf numFmtId="9" fontId="25" fillId="17" borderId="12" xfId="0" applyNumberFormat="1" applyFont="1" applyFill="1" applyBorder="1" applyAlignment="1">
      <alignment horizontal="center" vertical="center" textRotation="90"/>
    </xf>
    <xf numFmtId="9" fontId="25" fillId="17" borderId="11" xfId="0" applyNumberFormat="1" applyFont="1" applyFill="1" applyBorder="1" applyAlignment="1">
      <alignment horizontal="center" vertical="center" textRotation="90"/>
    </xf>
    <xf numFmtId="0" fontId="27" fillId="0" borderId="32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17" borderId="12" xfId="0" applyFont="1" applyFill="1" applyBorder="1" applyAlignment="1">
      <alignment horizontal="center" vertical="center" textRotation="90"/>
    </xf>
    <xf numFmtId="0" fontId="27" fillId="17" borderId="11" xfId="0" applyFont="1" applyFill="1" applyBorder="1" applyAlignment="1">
      <alignment horizontal="center" vertical="center" textRotation="90"/>
    </xf>
    <xf numFmtId="1" fontId="30" fillId="0" borderId="13" xfId="0" applyNumberFormat="1" applyFont="1" applyBorder="1" applyAlignment="1" applyProtection="1">
      <alignment horizontal="center"/>
      <protection locked="0"/>
    </xf>
    <xf numFmtId="1" fontId="30" fillId="0" borderId="15" xfId="0" applyNumberFormat="1" applyFont="1" applyBorder="1" applyAlignment="1" applyProtection="1">
      <alignment horizontal="center"/>
      <protection locked="0"/>
    </xf>
    <xf numFmtId="9" fontId="25" fillId="16" borderId="13" xfId="0" applyNumberFormat="1" applyFont="1" applyFill="1" applyBorder="1" applyAlignment="1">
      <alignment horizontal="center" vertical="center"/>
    </xf>
    <xf numFmtId="9" fontId="25" fillId="16" borderId="15" xfId="0" applyNumberFormat="1" applyFont="1" applyFill="1" applyBorder="1" applyAlignment="1">
      <alignment horizontal="center" vertical="center"/>
    </xf>
    <xf numFmtId="9" fontId="25" fillId="16" borderId="14" xfId="0" applyNumberFormat="1" applyFont="1" applyFill="1" applyBorder="1" applyAlignment="1">
      <alignment horizontal="center" vertical="center"/>
    </xf>
    <xf numFmtId="9" fontId="25" fillId="17" borderId="31" xfId="0" applyNumberFormat="1" applyFont="1" applyFill="1" applyBorder="1" applyAlignment="1">
      <alignment horizontal="center" vertical="center" textRotation="90"/>
    </xf>
    <xf numFmtId="9" fontId="25" fillId="17" borderId="32" xfId="0" applyNumberFormat="1" applyFont="1" applyFill="1" applyBorder="1" applyAlignment="1">
      <alignment horizontal="center" vertical="center" textRotation="90"/>
    </xf>
    <xf numFmtId="9" fontId="25" fillId="17" borderId="33" xfId="0" applyNumberFormat="1" applyFont="1" applyFill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right" vertical="center" textRotation="90" wrapText="1"/>
    </xf>
    <xf numFmtId="0" fontId="27" fillId="0" borderId="11" xfId="0" applyFont="1" applyBorder="1" applyAlignment="1">
      <alignment horizontal="right" vertical="center" textRotation="90" wrapText="1"/>
    </xf>
    <xf numFmtId="1" fontId="27" fillId="16" borderId="12" xfId="0" applyNumberFormat="1" applyFont="1" applyFill="1" applyBorder="1" applyAlignment="1">
      <alignment horizontal="center" vertical="center" wrapText="1"/>
    </xf>
    <xf numFmtId="1" fontId="27" fillId="16" borderId="11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" fontId="27" fillId="0" borderId="12" xfId="0" applyNumberFormat="1" applyFont="1" applyBorder="1" applyAlignment="1">
      <alignment horizontal="center" vertical="center" wrapText="1"/>
    </xf>
    <xf numFmtId="1" fontId="27" fillId="0" borderId="11" xfId="0" applyNumberFormat="1" applyFont="1" applyBorder="1" applyAlignment="1">
      <alignment horizontal="center" vertical="center" wrapText="1"/>
    </xf>
    <xf numFmtId="0" fontId="27" fillId="16" borderId="12" xfId="0" applyFont="1" applyFill="1" applyBorder="1" applyAlignment="1">
      <alignment horizontal="center" vertical="center" wrapText="1"/>
    </xf>
    <xf numFmtId="0" fontId="27" fillId="16" borderId="11" xfId="0" applyFont="1" applyFill="1" applyBorder="1" applyAlignment="1">
      <alignment horizontal="center" vertical="center" wrapText="1"/>
    </xf>
    <xf numFmtId="9" fontId="27" fillId="16" borderId="12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right" vertical="center" textRotation="90" wrapText="1"/>
    </xf>
    <xf numFmtId="1" fontId="30" fillId="16" borderId="10" xfId="0" applyNumberFormat="1" applyFont="1" applyFill="1" applyBorder="1" applyAlignment="1">
      <alignment horizontal="center" vertical="center"/>
    </xf>
    <xf numFmtId="1" fontId="30" fillId="16" borderId="28" xfId="0" applyNumberFormat="1" applyFont="1" applyFill="1" applyBorder="1" applyAlignment="1">
      <alignment horizontal="center" vertical="center"/>
    </xf>
    <xf numFmtId="1" fontId="30" fillId="16" borderId="23" xfId="0" applyNumberFormat="1" applyFont="1" applyFill="1" applyBorder="1" applyAlignment="1">
      <alignment horizontal="center" vertical="center"/>
    </xf>
    <xf numFmtId="1" fontId="29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16" borderId="29" xfId="0" applyFont="1" applyFill="1" applyBorder="1" applyAlignment="1" applyProtection="1">
      <alignment horizontal="center"/>
      <protection locked="0"/>
    </xf>
    <xf numFmtId="0" fontId="29" fillId="0" borderId="29" xfId="0" applyFont="1" applyBorder="1" applyAlignment="1" applyProtection="1">
      <alignment horizontal="center"/>
      <protection locked="0"/>
    </xf>
    <xf numFmtId="1" fontId="29" fillId="16" borderId="12" xfId="0" applyNumberFormat="1" applyFont="1" applyFill="1" applyBorder="1" applyAlignment="1" applyProtection="1">
      <alignment horizontal="center" vertical="center" wrapText="1"/>
      <protection locked="0"/>
    </xf>
    <xf numFmtId="1" fontId="29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0" fillId="16" borderId="18" xfId="0" applyFont="1" applyFill="1" applyBorder="1" applyAlignment="1" applyProtection="1">
      <alignment horizontal="center"/>
      <protection locked="0"/>
    </xf>
    <xf numFmtId="0" fontId="30" fillId="0" borderId="18" xfId="0" applyFont="1" applyBorder="1" applyAlignment="1" applyProtection="1">
      <alignment horizontal="center"/>
      <protection locked="0"/>
    </xf>
    <xf numFmtId="0" fontId="29" fillId="16" borderId="21" xfId="0" applyFont="1" applyFill="1" applyBorder="1" applyAlignment="1" applyProtection="1">
      <alignment horizontal="left"/>
      <protection locked="0"/>
    </xf>
    <xf numFmtId="0" fontId="29" fillId="16" borderId="22" xfId="0" applyFont="1" applyFill="1" applyBorder="1" applyAlignment="1" applyProtection="1">
      <alignment horizontal="left"/>
      <protection locked="0"/>
    </xf>
    <xf numFmtId="0" fontId="29" fillId="0" borderId="22" xfId="0" applyFont="1" applyBorder="1" applyAlignment="1" applyProtection="1">
      <alignment horizontal="left"/>
      <protection locked="0"/>
    </xf>
    <xf numFmtId="0" fontId="29" fillId="16" borderId="24" xfId="0" applyFont="1" applyFill="1" applyBorder="1" applyAlignment="1" applyProtection="1">
      <alignment horizontal="left"/>
      <protection locked="0"/>
    </xf>
    <xf numFmtId="0" fontId="29" fillId="16" borderId="25" xfId="0" applyFont="1" applyFill="1" applyBorder="1" applyAlignment="1" applyProtection="1">
      <alignment horizontal="left"/>
      <protection locked="0"/>
    </xf>
    <xf numFmtId="0" fontId="30" fillId="16" borderId="24" xfId="0" applyFont="1" applyFill="1" applyBorder="1" applyAlignment="1" applyProtection="1">
      <alignment horizontal="left" vertical="center" wrapText="1"/>
      <protection locked="0"/>
    </xf>
    <xf numFmtId="0" fontId="30" fillId="16" borderId="25" xfId="0" applyFont="1" applyFill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25" fillId="16" borderId="0" xfId="27" applyFont="1" applyFill="1" applyAlignment="1">
      <alignment wrapText="1"/>
    </xf>
    <xf numFmtId="0" fontId="46" fillId="0" borderId="0" xfId="27" applyAlignment="1">
      <alignment wrapText="1"/>
    </xf>
    <xf numFmtId="0" fontId="51" fillId="0" borderId="0" xfId="27" applyFont="1" applyAlignment="1">
      <alignment horizontal="center" vertical="center" wrapText="1"/>
    </xf>
    <xf numFmtId="9" fontId="27" fillId="17" borderId="12" xfId="0" applyNumberFormat="1" applyFont="1" applyFill="1" applyBorder="1" applyAlignment="1">
      <alignment horizontal="center" vertical="center"/>
    </xf>
    <xf numFmtId="0" fontId="27" fillId="17" borderId="11" xfId="0" applyFont="1" applyFill="1" applyBorder="1" applyAlignment="1">
      <alignment horizontal="center" vertical="center"/>
    </xf>
    <xf numFmtId="0" fontId="26" fillId="0" borderId="12" xfId="27" applyFont="1" applyBorder="1" applyAlignment="1">
      <alignment horizontal="left" vertical="center" wrapText="1"/>
    </xf>
    <xf numFmtId="0" fontId="26" fillId="0" borderId="11" xfId="27" applyFont="1" applyBorder="1" applyAlignment="1">
      <alignment horizontal="left" vertical="center" wrapText="1"/>
    </xf>
    <xf numFmtId="0" fontId="28" fillId="0" borderId="12" xfId="27" applyFont="1" applyBorder="1" applyAlignment="1">
      <alignment horizontal="center" vertical="center" wrapText="1"/>
    </xf>
    <xf numFmtId="0" fontId="28" fillId="0" borderId="11" xfId="27" applyFont="1" applyBorder="1" applyAlignment="1">
      <alignment horizontal="center" vertical="center" wrapText="1"/>
    </xf>
    <xf numFmtId="0" fontId="27" fillId="0" borderId="0" xfId="27" applyFont="1" applyProtection="1">
      <protection locked="0"/>
    </xf>
    <xf numFmtId="0" fontId="27" fillId="0" borderId="10" xfId="27" applyFont="1" applyBorder="1" applyAlignment="1">
      <alignment horizontal="center" vertical="center" wrapText="1"/>
    </xf>
    <xf numFmtId="0" fontId="27" fillId="0" borderId="13" xfId="27" applyFont="1" applyBorder="1" applyAlignment="1">
      <alignment horizontal="center" vertical="center" wrapText="1"/>
    </xf>
    <xf numFmtId="0" fontId="27" fillId="0" borderId="14" xfId="27" applyFont="1" applyBorder="1" applyAlignment="1">
      <alignment horizontal="center" vertical="center" wrapText="1"/>
    </xf>
    <xf numFmtId="0" fontId="27" fillId="0" borderId="12" xfId="27" applyFont="1" applyBorder="1" applyAlignment="1">
      <alignment horizontal="center" vertical="center" wrapText="1"/>
    </xf>
    <xf numFmtId="0" fontId="27" fillId="0" borderId="11" xfId="27" applyFont="1" applyBorder="1" applyAlignment="1">
      <alignment horizontal="center" vertical="center" wrapText="1"/>
    </xf>
    <xf numFmtId="0" fontId="27" fillId="0" borderId="37" xfId="27" applyFont="1" applyBorder="1" applyAlignment="1">
      <alignment horizontal="center" vertical="center" wrapText="1"/>
    </xf>
    <xf numFmtId="0" fontId="28" fillId="0" borderId="13" xfId="27" applyFont="1" applyBorder="1" applyAlignment="1">
      <alignment horizontal="center" vertical="center" wrapText="1"/>
    </xf>
    <xf numFmtId="0" fontId="28" fillId="0" borderId="15" xfId="27" applyFont="1" applyBorder="1" applyAlignment="1">
      <alignment horizontal="center" vertical="center" wrapText="1"/>
    </xf>
    <xf numFmtId="0" fontId="27" fillId="0" borderId="31" xfId="27" applyFont="1" applyBorder="1" applyAlignment="1">
      <alignment horizontal="center" vertical="center" wrapText="1"/>
    </xf>
    <xf numFmtId="0" fontId="27" fillId="0" borderId="33" xfId="27" applyFont="1" applyBorder="1" applyAlignment="1">
      <alignment horizontal="center" vertical="center" wrapText="1"/>
    </xf>
    <xf numFmtId="0" fontId="27" fillId="0" borderId="34" xfId="27" applyFont="1" applyBorder="1" applyAlignment="1">
      <alignment horizontal="center" vertical="center" wrapText="1"/>
    </xf>
    <xf numFmtId="0" fontId="27" fillId="0" borderId="36" xfId="27" applyFont="1" applyBorder="1" applyAlignment="1">
      <alignment horizontal="center" vertical="center" wrapText="1"/>
    </xf>
    <xf numFmtId="10" fontId="27" fillId="0" borderId="10" xfId="27" applyNumberFormat="1" applyFont="1" applyBorder="1" applyAlignment="1">
      <alignment horizontal="center" vertical="center" wrapText="1"/>
    </xf>
    <xf numFmtId="0" fontId="27" fillId="16" borderId="12" xfId="27" applyFont="1" applyFill="1" applyBorder="1" applyAlignment="1">
      <alignment horizontal="center" vertical="center" wrapText="1"/>
    </xf>
    <xf numFmtId="0" fontId="27" fillId="16" borderId="37" xfId="27" applyFont="1" applyFill="1" applyBorder="1" applyAlignment="1">
      <alignment horizontal="center" vertical="center" wrapText="1"/>
    </xf>
    <xf numFmtId="0" fontId="27" fillId="16" borderId="11" xfId="27" applyFont="1" applyFill="1" applyBorder="1" applyAlignment="1">
      <alignment horizontal="center" vertical="center" wrapText="1"/>
    </xf>
    <xf numFmtId="0" fontId="27" fillId="0" borderId="38" xfId="27" applyFont="1" applyBorder="1" applyAlignment="1">
      <alignment horizontal="center" vertical="center" wrapText="1"/>
    </xf>
    <xf numFmtId="0" fontId="27" fillId="0" borderId="20" xfId="27" applyFont="1" applyBorder="1" applyAlignment="1">
      <alignment horizontal="center" vertical="center" wrapText="1"/>
    </xf>
    <xf numFmtId="0" fontId="27" fillId="0" borderId="35" xfId="27" applyFont="1" applyBorder="1" applyAlignment="1">
      <alignment horizontal="center" wrapText="1"/>
    </xf>
    <xf numFmtId="14" fontId="25" fillId="0" borderId="39" xfId="27" applyNumberFormat="1" applyFont="1" applyBorder="1" applyAlignment="1">
      <alignment horizontal="right"/>
    </xf>
    <xf numFmtId="0" fontId="25" fillId="0" borderId="39" xfId="27" applyFont="1" applyBorder="1" applyAlignment="1">
      <alignment horizontal="right"/>
    </xf>
    <xf numFmtId="0" fontId="25" fillId="16" borderId="0" xfId="27" applyFont="1" applyFill="1" applyAlignment="1">
      <alignment horizontal="center"/>
    </xf>
    <xf numFmtId="0" fontId="28" fillId="0" borderId="10" xfId="27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</cellXfs>
  <cellStyles count="2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6" xr:uid="{00000000-0005-0000-0000-000012000000}"/>
    <cellStyle name="Обычный 3" xfId="27" xr:uid="{00000000-0005-0000-0000-000013000000}"/>
    <cellStyle name="Обычный_нш 149 январь2009" xfId="25" xr:uid="{00000000-0005-0000-0000-000014000000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2" xfId="28" xr:uid="{00000000-0005-0000-0000-00001B000000}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88;&#1080;&#1092;%2001.09.2021/Users/Gl.Economist/Downloads/Users/&#1072;&#1076;&#1084;&#1080;&#1085;/Downloads/Users/home/Desktop/&#1088;&#1072;&#1073;&#1086;&#1095;&#1080;&#1081;%20&#1089;&#1090;&#1086;&#1083;%202019/&#1090;&#1072;&#1088;&#1080;&#1092;%2001.01.19/&#1050;&#1091;&#1090;&#1087;&#1072;&#1085;&#1091;&#1083;&#1099;%202018&#1075;/&#1050;&#1091;&#1090;&#1087;&#1072;&#1085;&#1091;&#1083;&#1099;_&#1057;&#1064;_&#1090;&#1072;&#1088;&#1080;&#1092;&#1080;&#1082;&#1072;&#1094;&#1080;_&#1085;&#1072;_01.01.2018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акультативы"/>
      <sheetName val="показатели "/>
      <sheetName val="учителя"/>
      <sheetName val="Адмхоз"/>
      <sheetName val="нагрузка"/>
      <sheetName val="тетрадь,"/>
      <sheetName val="деление групп,"/>
      <sheetName val="обучение на дому"/>
      <sheetName val="мини_центр"/>
    </sheetNames>
    <sheetDataSet>
      <sheetData sheetId="0" refreshError="1"/>
      <sheetData sheetId="1" refreshError="1"/>
      <sheetData sheetId="2" refreshError="1"/>
      <sheetData sheetId="3" refreshError="1">
        <row r="11">
          <cell r="B11" t="str">
            <v>Сейтказиева Асыл Маратовна</v>
          </cell>
        </row>
        <row r="42">
          <cell r="E42">
            <v>2</v>
          </cell>
          <cell r="F42">
            <v>0</v>
          </cell>
        </row>
        <row r="43">
          <cell r="E43">
            <v>2</v>
          </cell>
          <cell r="F43">
            <v>0</v>
          </cell>
        </row>
        <row r="61">
          <cell r="F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3"/>
  <sheetViews>
    <sheetView tabSelected="1" view="pageBreakPreview" topLeftCell="A80" zoomScale="82" zoomScaleNormal="100" zoomScaleSheetLayoutView="82" workbookViewId="0">
      <pane xSplit="2" topLeftCell="J1" activePane="topRight" state="frozen"/>
      <selection activeCell="A26" sqref="A26"/>
      <selection pane="topRight" activeCell="X94" sqref="X94"/>
    </sheetView>
  </sheetViews>
  <sheetFormatPr defaultRowHeight="18" x14ac:dyDescent="0.25"/>
  <cols>
    <col min="1" max="1" width="5.42578125" style="1" customWidth="1"/>
    <col min="2" max="2" width="34.5703125" style="1" customWidth="1"/>
    <col min="3" max="3" width="20" style="1" customWidth="1"/>
    <col min="4" max="4" width="14" style="1" customWidth="1"/>
    <col min="5" max="5" width="21.42578125" style="20" customWidth="1"/>
    <col min="6" max="6" width="10.140625" style="20" customWidth="1"/>
    <col min="7" max="7" width="9" style="20" customWidth="1"/>
    <col min="8" max="8" width="11.140625" style="20" customWidth="1"/>
    <col min="9" max="12" width="14.85546875" style="2" customWidth="1"/>
    <col min="13" max="13" width="10.28515625" style="1" customWidth="1"/>
    <col min="14" max="14" width="7.7109375" style="1" customWidth="1"/>
    <col min="15" max="15" width="10.140625" style="1" customWidth="1"/>
    <col min="16" max="16" width="8.140625" style="1" customWidth="1"/>
    <col min="17" max="17" width="11.140625" style="1" customWidth="1"/>
    <col min="18" max="18" width="14.140625" style="1" customWidth="1"/>
    <col min="19" max="20" width="15.28515625" style="1" customWidth="1"/>
    <col min="21" max="23" width="14.7109375" style="1" customWidth="1"/>
    <col min="24" max="24" width="15.5703125" style="1" customWidth="1"/>
    <col min="25" max="25" width="14.7109375" style="1" customWidth="1"/>
    <col min="26" max="26" width="12" style="1" customWidth="1"/>
    <col min="27" max="27" width="15.28515625" style="1" customWidth="1"/>
    <col min="28" max="28" width="14.42578125" style="1" customWidth="1"/>
    <col min="29" max="29" width="17" style="1" customWidth="1"/>
    <col min="30" max="30" width="12" style="1" customWidth="1"/>
    <col min="31" max="32" width="13.5703125" style="1" customWidth="1"/>
    <col min="33" max="33" width="13" style="1" customWidth="1"/>
    <col min="34" max="35" width="15" style="1" customWidth="1"/>
    <col min="36" max="36" width="14.28515625" style="1" customWidth="1"/>
    <col min="37" max="37" width="13.7109375" style="1" customWidth="1"/>
    <col min="38" max="38" width="12.5703125" style="1" customWidth="1"/>
    <col min="39" max="39" width="13" style="1" customWidth="1"/>
    <col min="40" max="40" width="13.42578125" style="1" customWidth="1"/>
    <col min="41" max="41" width="17.5703125" style="1" customWidth="1"/>
    <col min="42" max="42" width="10.42578125" style="1" customWidth="1"/>
    <col min="43" max="43" width="14.28515625" style="1" bestFit="1" customWidth="1"/>
    <col min="44" max="44" width="12.28515625" style="1" customWidth="1"/>
    <col min="45" max="45" width="14.5703125" style="1" customWidth="1"/>
    <col min="46" max="46" width="15.85546875" style="1" customWidth="1"/>
    <col min="47" max="47" width="11.42578125" style="1" customWidth="1"/>
    <col min="48" max="48" width="15.85546875" style="1" customWidth="1"/>
    <col min="49" max="49" width="9.140625" style="1" customWidth="1"/>
    <col min="50" max="50" width="17.42578125" style="1" customWidth="1"/>
    <col min="51" max="16384" width="9.140625" style="1"/>
  </cols>
  <sheetData>
    <row r="1" spans="1:46" s="55" customFormat="1" ht="33.75" customHeight="1" thickBot="1" x14ac:dyDescent="0.45">
      <c r="A1" s="52"/>
      <c r="B1" s="52"/>
      <c r="C1" s="52"/>
      <c r="D1" s="52"/>
      <c r="E1" s="52"/>
      <c r="F1" s="52"/>
      <c r="G1" s="52"/>
      <c r="H1" s="52"/>
      <c r="I1" s="53"/>
      <c r="J1" s="52"/>
      <c r="K1" s="54"/>
      <c r="L1" s="54"/>
      <c r="R1" s="56"/>
      <c r="S1" s="52"/>
      <c r="T1" s="52"/>
      <c r="U1" s="57"/>
      <c r="V1" s="57"/>
      <c r="W1" s="57"/>
      <c r="X1" s="58"/>
      <c r="Y1" s="59"/>
      <c r="Z1" s="60"/>
      <c r="AA1" s="61"/>
      <c r="AB1" s="61"/>
      <c r="AC1" s="62"/>
      <c r="AD1" s="62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52"/>
      <c r="AQ1" s="52"/>
      <c r="AR1" s="61"/>
      <c r="AS1" s="61"/>
      <c r="AT1" s="52"/>
    </row>
    <row r="2" spans="1:46" s="55" customFormat="1" ht="33" customHeight="1" x14ac:dyDescent="0.45">
      <c r="A2" s="52"/>
      <c r="B2" s="231"/>
      <c r="C2" s="231"/>
      <c r="D2" s="231"/>
      <c r="E2" s="232"/>
      <c r="F2" s="232"/>
      <c r="G2" s="184" t="s">
        <v>171</v>
      </c>
      <c r="H2" s="184"/>
      <c r="I2" s="183"/>
      <c r="J2" s="187"/>
      <c r="K2" s="186"/>
      <c r="L2" s="183"/>
      <c r="M2" s="183"/>
      <c r="N2" s="183"/>
      <c r="O2" s="183"/>
      <c r="P2" s="183"/>
      <c r="Q2" s="183"/>
      <c r="R2" s="183" t="s">
        <v>170</v>
      </c>
      <c r="S2" s="183"/>
      <c r="T2" s="183"/>
      <c r="U2" s="183"/>
      <c r="V2" s="183"/>
      <c r="W2" s="183"/>
      <c r="X2" s="63"/>
      <c r="Y2" s="233"/>
      <c r="Z2" s="233"/>
      <c r="AA2" s="63"/>
      <c r="AB2" s="64" t="s">
        <v>46</v>
      </c>
      <c r="AC2" s="65"/>
      <c r="AD2" s="312" t="s">
        <v>47</v>
      </c>
      <c r="AE2" s="312"/>
      <c r="AF2" s="312"/>
      <c r="AG2" s="312"/>
      <c r="AH2" s="312"/>
      <c r="AI2" s="312"/>
      <c r="AJ2" s="312"/>
      <c r="AK2" s="312"/>
      <c r="AL2" s="313"/>
      <c r="AM2" s="312"/>
      <c r="AN2" s="312"/>
      <c r="AO2" s="312"/>
      <c r="AP2" s="66" t="s">
        <v>0</v>
      </c>
      <c r="AQ2" s="67" t="s">
        <v>1</v>
      </c>
      <c r="AR2" s="68" t="s">
        <v>2</v>
      </c>
      <c r="AS2" s="69" t="s">
        <v>48</v>
      </c>
    </row>
    <row r="3" spans="1:46" s="55" customFormat="1" ht="31.5" customHeight="1" x14ac:dyDescent="0.45">
      <c r="A3" s="52"/>
      <c r="B3" s="232"/>
      <c r="C3" s="232"/>
      <c r="D3" s="232"/>
      <c r="E3" s="232"/>
      <c r="F3" s="232"/>
      <c r="G3" s="184"/>
      <c r="H3" s="184"/>
      <c r="I3" s="183"/>
      <c r="J3" s="187"/>
      <c r="K3" s="186"/>
      <c r="L3" s="183"/>
      <c r="M3" s="183"/>
      <c r="N3" s="183"/>
      <c r="O3" s="183"/>
      <c r="P3" s="183"/>
      <c r="Q3" s="183"/>
      <c r="R3" s="183" t="s">
        <v>169</v>
      </c>
      <c r="S3" s="183"/>
      <c r="T3" s="183"/>
      <c r="U3" s="183"/>
      <c r="V3" s="183"/>
      <c r="W3" s="183"/>
      <c r="X3" s="234"/>
      <c r="Y3" s="234"/>
      <c r="Z3" s="234"/>
      <c r="AA3" s="136"/>
      <c r="AB3" s="70">
        <v>1</v>
      </c>
      <c r="AC3" s="70"/>
      <c r="AD3" s="314" t="s">
        <v>243</v>
      </c>
      <c r="AE3" s="315"/>
      <c r="AF3" s="315"/>
      <c r="AG3" s="315"/>
      <c r="AH3" s="315"/>
      <c r="AI3" s="315"/>
      <c r="AJ3" s="315"/>
      <c r="AK3" s="315"/>
      <c r="AL3" s="316"/>
      <c r="AM3" s="315"/>
      <c r="AN3" s="315"/>
      <c r="AO3" s="315"/>
      <c r="AP3" s="71">
        <v>8</v>
      </c>
      <c r="AQ3" s="72">
        <v>10</v>
      </c>
      <c r="AR3" s="73">
        <v>3</v>
      </c>
      <c r="AS3" s="74">
        <f>AR3+AQ3+AP3</f>
        <v>21</v>
      </c>
    </row>
    <row r="4" spans="1:46" s="55" customFormat="1" ht="49.5" customHeight="1" x14ac:dyDescent="0.45">
      <c r="A4" s="52"/>
      <c r="B4" s="232"/>
      <c r="C4" s="232"/>
      <c r="D4" s="232"/>
      <c r="E4" s="232"/>
      <c r="F4" s="232"/>
      <c r="G4" s="322" t="s">
        <v>209</v>
      </c>
      <c r="H4" s="323"/>
      <c r="I4" s="323"/>
      <c r="J4" s="323"/>
      <c r="K4" s="323"/>
      <c r="L4" s="323"/>
      <c r="M4" s="323"/>
      <c r="N4" s="323"/>
      <c r="O4" s="323"/>
      <c r="P4" s="183"/>
      <c r="Q4" s="183"/>
      <c r="R4" s="183" t="s">
        <v>168</v>
      </c>
      <c r="S4" s="183"/>
      <c r="T4" s="324"/>
      <c r="U4" s="324"/>
      <c r="V4" s="324"/>
      <c r="W4" s="229"/>
      <c r="X4" s="235"/>
      <c r="Y4" s="235"/>
      <c r="Z4" s="235"/>
      <c r="AA4" s="137"/>
      <c r="AB4" s="70">
        <v>2</v>
      </c>
      <c r="AC4" s="70"/>
      <c r="AD4" s="317" t="s">
        <v>244</v>
      </c>
      <c r="AE4" s="318"/>
      <c r="AF4" s="318"/>
      <c r="AG4" s="318"/>
      <c r="AH4" s="318"/>
      <c r="AI4" s="318"/>
      <c r="AJ4" s="318"/>
      <c r="AK4" s="318"/>
      <c r="AL4" s="258"/>
      <c r="AM4" s="318"/>
      <c r="AN4" s="318"/>
      <c r="AO4" s="318"/>
      <c r="AP4" s="75">
        <v>8</v>
      </c>
      <c r="AQ4" s="76">
        <v>10</v>
      </c>
      <c r="AR4" s="77">
        <v>3</v>
      </c>
      <c r="AS4" s="78">
        <f>SUM(AP4:AR4)</f>
        <v>21</v>
      </c>
    </row>
    <row r="5" spans="1:46" s="55" customFormat="1" ht="26.25" customHeight="1" x14ac:dyDescent="0.45">
      <c r="A5" s="52"/>
      <c r="B5" s="236"/>
      <c r="C5" s="236"/>
      <c r="D5" s="236"/>
      <c r="E5" s="236"/>
      <c r="F5" s="236"/>
      <c r="G5" s="184"/>
      <c r="H5" s="184"/>
      <c r="I5" s="183"/>
      <c r="J5" s="187"/>
      <c r="K5" s="186"/>
      <c r="L5" s="183"/>
      <c r="M5" s="183"/>
      <c r="N5" s="183"/>
      <c r="O5" s="183"/>
      <c r="P5" s="183"/>
      <c r="Q5" s="183"/>
      <c r="R5" s="143"/>
      <c r="S5" s="143"/>
      <c r="T5" s="143"/>
      <c r="U5" s="143"/>
      <c r="V5" s="143"/>
      <c r="W5" s="143"/>
      <c r="X5" s="233"/>
      <c r="Y5" s="235"/>
      <c r="Z5" s="235"/>
      <c r="AA5" s="137"/>
      <c r="AB5" s="70">
        <v>3</v>
      </c>
      <c r="AC5" s="70"/>
      <c r="AD5" s="317" t="s">
        <v>245</v>
      </c>
      <c r="AE5" s="318"/>
      <c r="AF5" s="318"/>
      <c r="AG5" s="318"/>
      <c r="AH5" s="318"/>
      <c r="AI5" s="318"/>
      <c r="AJ5" s="318"/>
      <c r="AK5" s="318"/>
      <c r="AL5" s="258"/>
      <c r="AM5" s="318"/>
      <c r="AN5" s="318"/>
      <c r="AO5" s="318"/>
      <c r="AP5" s="79">
        <v>122</v>
      </c>
      <c r="AQ5" s="80">
        <v>161</v>
      </c>
      <c r="AR5" s="81">
        <v>23</v>
      </c>
      <c r="AS5" s="82">
        <v>267</v>
      </c>
    </row>
    <row r="6" spans="1:46" s="55" customFormat="1" ht="30" customHeight="1" x14ac:dyDescent="0.45">
      <c r="A6" s="52"/>
      <c r="B6" s="232"/>
      <c r="C6" s="232"/>
      <c r="D6" s="232"/>
      <c r="E6" s="232"/>
      <c r="F6" s="232"/>
      <c r="G6" s="184" t="s">
        <v>167</v>
      </c>
      <c r="H6" s="179"/>
      <c r="I6" s="179"/>
      <c r="J6" s="184" t="s">
        <v>210</v>
      </c>
      <c r="K6" s="183"/>
      <c r="L6" s="183"/>
      <c r="M6" s="183"/>
      <c r="N6" s="183"/>
      <c r="O6" s="183"/>
      <c r="P6" s="183"/>
      <c r="Q6" s="183"/>
      <c r="R6" s="183" t="s">
        <v>242</v>
      </c>
      <c r="S6" s="183"/>
      <c r="T6" s="183" t="s">
        <v>165</v>
      </c>
      <c r="U6" s="183" t="s">
        <v>241</v>
      </c>
      <c r="V6" s="183"/>
      <c r="W6" s="183"/>
      <c r="X6" s="237"/>
      <c r="Y6" s="237"/>
      <c r="Z6" s="237"/>
      <c r="AA6" s="138"/>
      <c r="AB6" s="302">
        <v>4</v>
      </c>
      <c r="AC6" s="305"/>
      <c r="AD6" s="319" t="s">
        <v>49</v>
      </c>
      <c r="AE6" s="320"/>
      <c r="AF6" s="320"/>
      <c r="AG6" s="320"/>
      <c r="AH6" s="320"/>
      <c r="AI6" s="320"/>
      <c r="AJ6" s="320"/>
      <c r="AK6" s="320"/>
      <c r="AL6" s="321"/>
      <c r="AM6" s="320"/>
      <c r="AN6" s="320"/>
      <c r="AO6" s="320"/>
      <c r="AP6" s="299">
        <f>SUM(AP11+AP32)</f>
        <v>205</v>
      </c>
      <c r="AQ6" s="299">
        <f t="shared" ref="AQ6:AR6" si="0">SUM(AQ11+AQ32)</f>
        <v>363</v>
      </c>
      <c r="AR6" s="299">
        <f t="shared" si="0"/>
        <v>106</v>
      </c>
      <c r="AS6" s="300">
        <f>SUM(AP6:AR7)</f>
        <v>674</v>
      </c>
    </row>
    <row r="7" spans="1:46" s="55" customFormat="1" ht="30.75" customHeight="1" x14ac:dyDescent="0.45">
      <c r="A7" s="52"/>
      <c r="B7" s="232"/>
      <c r="C7" s="232"/>
      <c r="D7" s="232"/>
      <c r="E7" s="232"/>
      <c r="F7" s="232"/>
      <c r="G7" s="184"/>
      <c r="H7" s="184"/>
      <c r="I7" s="183"/>
      <c r="J7" s="187"/>
      <c r="K7" s="186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237"/>
      <c r="Y7" s="237"/>
      <c r="Z7" s="237"/>
      <c r="AA7" s="138"/>
      <c r="AB7" s="302"/>
      <c r="AC7" s="306"/>
      <c r="AD7" s="319"/>
      <c r="AE7" s="320"/>
      <c r="AF7" s="320"/>
      <c r="AG7" s="320"/>
      <c r="AH7" s="320"/>
      <c r="AI7" s="320"/>
      <c r="AJ7" s="320"/>
      <c r="AK7" s="320"/>
      <c r="AL7" s="321"/>
      <c r="AM7" s="320"/>
      <c r="AN7" s="320"/>
      <c r="AO7" s="320"/>
      <c r="AP7" s="299"/>
      <c r="AQ7" s="299"/>
      <c r="AR7" s="299"/>
      <c r="AS7" s="301"/>
    </row>
    <row r="8" spans="1:46" s="55" customFormat="1" ht="27" customHeight="1" x14ac:dyDescent="0.45">
      <c r="A8" s="52"/>
      <c r="B8" s="232"/>
      <c r="C8" s="232"/>
      <c r="D8" s="232"/>
      <c r="E8" s="232"/>
      <c r="F8" s="232"/>
      <c r="G8" s="184" t="s">
        <v>239</v>
      </c>
      <c r="H8" s="184"/>
      <c r="I8" s="183"/>
      <c r="J8" s="187"/>
      <c r="K8" s="186"/>
      <c r="L8" s="183"/>
      <c r="M8" s="183"/>
      <c r="N8" s="183"/>
      <c r="O8" s="183"/>
      <c r="P8" s="183"/>
      <c r="Q8" s="183"/>
      <c r="R8" s="183" t="s">
        <v>238</v>
      </c>
      <c r="S8" s="183"/>
      <c r="T8" s="183"/>
      <c r="U8" s="183"/>
      <c r="V8" s="183"/>
      <c r="W8" s="183"/>
      <c r="X8" s="238"/>
      <c r="Y8" s="233"/>
      <c r="Z8" s="233"/>
      <c r="AA8" s="63"/>
      <c r="AB8" s="83"/>
      <c r="AC8" s="83"/>
      <c r="AD8" s="303" t="s">
        <v>50</v>
      </c>
      <c r="AE8" s="303"/>
      <c r="AF8" s="303"/>
      <c r="AG8" s="303"/>
      <c r="AH8" s="303"/>
      <c r="AI8" s="303"/>
      <c r="AJ8" s="303"/>
      <c r="AK8" s="303"/>
      <c r="AL8" s="304"/>
      <c r="AM8" s="303"/>
      <c r="AN8" s="303"/>
      <c r="AO8" s="303"/>
      <c r="AP8" s="71"/>
      <c r="AQ8" s="84"/>
      <c r="AR8" s="73"/>
      <c r="AS8" s="85"/>
    </row>
    <row r="9" spans="1:46" s="55" customFormat="1" ht="27" customHeight="1" x14ac:dyDescent="0.45">
      <c r="A9" s="52"/>
      <c r="B9" s="232"/>
      <c r="C9" s="232"/>
      <c r="D9" s="232"/>
      <c r="E9" s="232"/>
      <c r="F9" s="233"/>
      <c r="G9" s="233"/>
      <c r="H9" s="233"/>
      <c r="I9" s="233"/>
      <c r="J9" s="233"/>
      <c r="K9" s="233"/>
      <c r="L9" s="233"/>
      <c r="M9" s="233"/>
      <c r="N9" s="233"/>
      <c r="O9" s="232"/>
      <c r="P9" s="232"/>
      <c r="Q9" s="232"/>
      <c r="R9" s="86"/>
      <c r="S9" s="239"/>
      <c r="T9" s="239"/>
      <c r="U9" s="232"/>
      <c r="V9" s="232"/>
      <c r="W9" s="232"/>
      <c r="X9" s="233"/>
      <c r="Y9" s="233"/>
      <c r="Z9" s="233"/>
      <c r="AA9" s="63"/>
      <c r="AB9" s="70" t="s">
        <v>51</v>
      </c>
      <c r="AC9" s="70"/>
      <c r="AD9" s="317" t="s">
        <v>52</v>
      </c>
      <c r="AE9" s="318"/>
      <c r="AF9" s="318"/>
      <c r="AG9" s="318"/>
      <c r="AH9" s="318"/>
      <c r="AI9" s="318"/>
      <c r="AJ9" s="318"/>
      <c r="AK9" s="318"/>
      <c r="AL9" s="258"/>
      <c r="AM9" s="318"/>
      <c r="AN9" s="318"/>
      <c r="AO9" s="318"/>
      <c r="AP9" s="75">
        <v>186</v>
      </c>
      <c r="AQ9" s="76">
        <v>309</v>
      </c>
      <c r="AR9" s="77">
        <v>98</v>
      </c>
      <c r="AS9" s="87">
        <f>SUM(AP9:AR9)</f>
        <v>593</v>
      </c>
    </row>
    <row r="10" spans="1:46" s="55" customFormat="1" ht="28.5" customHeight="1" x14ac:dyDescent="0.45">
      <c r="A10" s="52"/>
      <c r="B10" s="232"/>
      <c r="C10" s="232"/>
      <c r="D10" s="232"/>
      <c r="E10" s="232"/>
      <c r="F10" s="240"/>
      <c r="G10" s="240"/>
      <c r="H10" s="240"/>
      <c r="I10" s="240"/>
      <c r="J10" s="240"/>
      <c r="K10" s="240"/>
      <c r="L10" s="240"/>
      <c r="M10" s="232"/>
      <c r="N10" s="232"/>
      <c r="O10" s="240"/>
      <c r="P10" s="240"/>
      <c r="Q10" s="240"/>
      <c r="R10" s="241"/>
      <c r="S10" s="240"/>
      <c r="T10" s="240"/>
      <c r="U10" s="240"/>
      <c r="V10" s="240"/>
      <c r="W10" s="240"/>
      <c r="X10" s="232"/>
      <c r="Y10" s="232"/>
      <c r="Z10" s="86"/>
      <c r="AA10" s="86"/>
      <c r="AB10" s="88" t="s">
        <v>53</v>
      </c>
      <c r="AC10" s="88"/>
      <c r="AD10" s="257" t="s">
        <v>54</v>
      </c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77">
        <v>6</v>
      </c>
      <c r="AQ10" s="77">
        <v>6</v>
      </c>
      <c r="AR10" s="77">
        <v>8</v>
      </c>
      <c r="AS10" s="87">
        <f t="shared" ref="AS10:AS11" si="1">SUM(AP10:AR10)</f>
        <v>20</v>
      </c>
    </row>
    <row r="11" spans="1:46" s="55" customFormat="1" ht="33.75" customHeight="1" x14ac:dyDescent="0.4">
      <c r="A11" s="52"/>
      <c r="B11" s="52"/>
      <c r="C11" s="52"/>
      <c r="D11" s="52"/>
      <c r="E11" s="52"/>
      <c r="M11" s="52"/>
      <c r="N11" s="52"/>
      <c r="R11" s="56"/>
      <c r="Z11" s="61"/>
      <c r="AA11" s="61"/>
      <c r="AB11" s="89"/>
      <c r="AC11" s="89"/>
      <c r="AD11" s="307" t="s">
        <v>48</v>
      </c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90">
        <f>SUBTOTAL(9,AP9:AP10)</f>
        <v>192</v>
      </c>
      <c r="AQ11" s="90">
        <f t="shared" ref="AQ11:AR11" si="2">SUBTOTAL(9,AQ9:AQ10)</f>
        <v>315</v>
      </c>
      <c r="AR11" s="90">
        <f t="shared" si="2"/>
        <v>106</v>
      </c>
      <c r="AS11" s="87">
        <f t="shared" si="1"/>
        <v>613</v>
      </c>
    </row>
    <row r="12" spans="1:46" s="55" customFormat="1" ht="25.5" customHeight="1" x14ac:dyDescent="0.4">
      <c r="A12" s="52"/>
      <c r="B12" s="52"/>
      <c r="C12" s="52"/>
      <c r="D12" s="52"/>
      <c r="E12" s="52"/>
      <c r="R12" s="61"/>
      <c r="Z12" s="61"/>
      <c r="AA12" s="61"/>
      <c r="AB12" s="88">
        <v>1</v>
      </c>
      <c r="AC12" s="88"/>
      <c r="AD12" s="257" t="s">
        <v>27</v>
      </c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91"/>
      <c r="AQ12" s="92"/>
      <c r="AR12" s="91"/>
      <c r="AS12" s="93"/>
    </row>
    <row r="13" spans="1:46" s="55" customFormat="1" ht="28.5" customHeight="1" x14ac:dyDescent="0.4">
      <c r="A13" s="52"/>
      <c r="B13" s="52"/>
      <c r="C13" s="52"/>
      <c r="D13" s="52"/>
      <c r="E13" s="52"/>
      <c r="M13" s="52"/>
      <c r="N13" s="52"/>
      <c r="O13" s="52"/>
      <c r="P13" s="52"/>
      <c r="Q13" s="52"/>
      <c r="R13" s="61"/>
      <c r="S13" s="52"/>
      <c r="T13" s="52"/>
      <c r="U13" s="52"/>
      <c r="V13" s="52"/>
      <c r="W13" s="52"/>
      <c r="X13" s="52"/>
      <c r="Y13" s="52"/>
      <c r="Z13" s="61"/>
      <c r="AA13" s="61"/>
      <c r="AB13" s="88">
        <v>2</v>
      </c>
      <c r="AC13" s="88"/>
      <c r="AD13" s="257" t="s">
        <v>55</v>
      </c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91"/>
      <c r="AQ13" s="92"/>
      <c r="AR13" s="91"/>
      <c r="AS13" s="93"/>
    </row>
    <row r="14" spans="1:46" s="55" customFormat="1" ht="26.25" customHeight="1" x14ac:dyDescent="0.4">
      <c r="A14" s="52"/>
      <c r="B14" s="52"/>
      <c r="C14" s="52"/>
      <c r="D14" s="52"/>
      <c r="E14" s="52"/>
      <c r="M14" s="52"/>
      <c r="N14" s="52"/>
      <c r="O14" s="94"/>
      <c r="P14" s="94"/>
      <c r="Q14" s="94"/>
      <c r="R14" s="53"/>
      <c r="S14" s="94"/>
      <c r="T14" s="94"/>
      <c r="U14" s="94"/>
      <c r="V14" s="94"/>
      <c r="W14" s="94"/>
      <c r="X14" s="52"/>
      <c r="Y14" s="52"/>
      <c r="Z14" s="61"/>
      <c r="AA14" s="61"/>
      <c r="AB14" s="88">
        <v>3</v>
      </c>
      <c r="AC14" s="88"/>
      <c r="AD14" s="257" t="s">
        <v>56</v>
      </c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91"/>
      <c r="AQ14" s="92"/>
      <c r="AR14" s="91"/>
      <c r="AS14" s="93"/>
    </row>
    <row r="15" spans="1:46" s="55" customFormat="1" ht="27.75" customHeight="1" x14ac:dyDescent="0.4">
      <c r="A15" s="52"/>
      <c r="B15" s="52"/>
      <c r="C15" s="52"/>
      <c r="D15" s="52"/>
      <c r="E15" s="52"/>
      <c r="F15" s="94" t="s">
        <v>57</v>
      </c>
      <c r="G15" s="94"/>
      <c r="H15" s="94"/>
      <c r="I15" s="94"/>
      <c r="J15" s="94"/>
      <c r="K15" s="94"/>
      <c r="L15" s="52"/>
      <c r="R15" s="56"/>
      <c r="S15" s="94"/>
      <c r="T15" s="94"/>
      <c r="U15" s="94"/>
      <c r="V15" s="94"/>
      <c r="W15" s="94"/>
      <c r="X15" s="52"/>
      <c r="Y15" s="52"/>
      <c r="Z15" s="61"/>
      <c r="AA15" s="61"/>
      <c r="AB15" s="88">
        <v>4</v>
      </c>
      <c r="AC15" s="88"/>
      <c r="AD15" s="257" t="s">
        <v>58</v>
      </c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91"/>
      <c r="AQ15" s="92"/>
      <c r="AR15" s="91"/>
      <c r="AS15" s="93"/>
    </row>
    <row r="16" spans="1:46" s="55" customFormat="1" ht="27" customHeight="1" x14ac:dyDescent="0.4">
      <c r="A16" s="52"/>
      <c r="B16" s="52"/>
      <c r="C16" s="52"/>
      <c r="D16" s="52"/>
      <c r="E16" s="52"/>
      <c r="F16" s="52"/>
      <c r="G16" s="95" t="s">
        <v>59</v>
      </c>
      <c r="H16" s="52"/>
      <c r="I16" s="52"/>
      <c r="J16" s="5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4"/>
      <c r="Y16" s="94"/>
      <c r="Z16" s="61"/>
      <c r="AA16" s="61"/>
      <c r="AB16" s="88">
        <v>5</v>
      </c>
      <c r="AC16" s="97"/>
      <c r="AD16" s="258" t="s">
        <v>60</v>
      </c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91">
        <v>3</v>
      </c>
      <c r="AQ16" s="92">
        <v>4</v>
      </c>
      <c r="AR16" s="91"/>
      <c r="AS16" s="93">
        <f>SUM(AP16:AR16)</f>
        <v>7</v>
      </c>
    </row>
    <row r="17" spans="1:45" s="55" customFormat="1" ht="21.75" customHeight="1" x14ac:dyDescent="0.4">
      <c r="A17" s="52"/>
      <c r="B17" s="52"/>
      <c r="C17" s="52"/>
      <c r="D17" s="52"/>
      <c r="E17" s="52"/>
      <c r="M17" s="52"/>
      <c r="N17" s="52"/>
      <c r="O17" s="52"/>
      <c r="P17" s="52"/>
      <c r="Q17" s="52"/>
      <c r="R17" s="61"/>
      <c r="S17" s="52"/>
      <c r="T17" s="52"/>
      <c r="U17" s="52"/>
      <c r="V17" s="52"/>
      <c r="W17" s="52"/>
      <c r="X17" s="52"/>
      <c r="Y17" s="52"/>
      <c r="Z17" s="61"/>
      <c r="AA17" s="61"/>
      <c r="AB17" s="88">
        <v>6</v>
      </c>
      <c r="AC17" s="98"/>
      <c r="AD17" s="258" t="s">
        <v>61</v>
      </c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91">
        <v>4</v>
      </c>
      <c r="AQ17" s="92">
        <v>12</v>
      </c>
      <c r="AR17" s="91"/>
      <c r="AS17" s="93">
        <f t="shared" ref="AS17:AS18" si="3">SUM(AP17:AR17)</f>
        <v>16</v>
      </c>
    </row>
    <row r="18" spans="1:45" s="55" customFormat="1" ht="23.25" customHeight="1" x14ac:dyDescent="0.4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61"/>
      <c r="S18" s="52"/>
      <c r="T18" s="52"/>
      <c r="U18" s="52"/>
      <c r="V18" s="52"/>
      <c r="W18" s="52"/>
      <c r="X18" s="52"/>
      <c r="Y18" s="52"/>
      <c r="Z18" s="61"/>
      <c r="AA18" s="61"/>
      <c r="AB18" s="88">
        <v>7</v>
      </c>
      <c r="AC18" s="98"/>
      <c r="AD18" s="258" t="s">
        <v>179</v>
      </c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91"/>
      <c r="AQ18" s="92">
        <v>5</v>
      </c>
      <c r="AR18" s="91"/>
      <c r="AS18" s="93">
        <f t="shared" si="3"/>
        <v>5</v>
      </c>
    </row>
    <row r="19" spans="1:45" s="55" customFormat="1" ht="25.5" customHeight="1" x14ac:dyDescent="0.4">
      <c r="A19" s="52"/>
      <c r="B19" s="52"/>
      <c r="C19" s="52"/>
      <c r="D19" s="52"/>
      <c r="E19" s="52"/>
      <c r="F19" s="94"/>
      <c r="G19" s="53" t="s">
        <v>240</v>
      </c>
      <c r="H19" s="52"/>
      <c r="I19" s="52"/>
      <c r="J19" s="95"/>
      <c r="K19" s="94"/>
      <c r="M19" s="52"/>
      <c r="N19" s="52"/>
      <c r="O19" s="52"/>
      <c r="P19" s="52"/>
      <c r="Q19" s="52"/>
      <c r="R19" s="61"/>
      <c r="S19" s="52"/>
      <c r="T19" s="52"/>
      <c r="U19" s="52"/>
      <c r="V19" s="52"/>
      <c r="W19" s="52"/>
      <c r="X19" s="52"/>
      <c r="Y19" s="52"/>
      <c r="Z19" s="61"/>
      <c r="AA19" s="61"/>
      <c r="AB19" s="88">
        <v>8</v>
      </c>
      <c r="AC19" s="98"/>
      <c r="AD19" s="258" t="s">
        <v>62</v>
      </c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91">
        <v>6</v>
      </c>
      <c r="AQ19" s="92">
        <v>12</v>
      </c>
      <c r="AR19" s="91"/>
      <c r="AS19" s="93">
        <f>SUM(AP19:AR19)</f>
        <v>18</v>
      </c>
    </row>
    <row r="20" spans="1:45" s="55" customFormat="1" ht="25.5" customHeight="1" x14ac:dyDescent="0.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61"/>
      <c r="S20" s="52"/>
      <c r="T20" s="52"/>
      <c r="U20" s="52"/>
      <c r="V20" s="52"/>
      <c r="W20" s="52"/>
      <c r="X20" s="52"/>
      <c r="Y20" s="52"/>
      <c r="Z20" s="61"/>
      <c r="AA20" s="61"/>
      <c r="AB20" s="88">
        <v>9</v>
      </c>
      <c r="AC20" s="98"/>
      <c r="AD20" s="258" t="s">
        <v>63</v>
      </c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91"/>
      <c r="AQ20" s="92"/>
      <c r="AR20" s="91"/>
      <c r="AS20" s="93"/>
    </row>
    <row r="21" spans="1:45" s="55" customFormat="1" ht="28.5" customHeigh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61"/>
      <c r="S21" s="52"/>
      <c r="T21" s="52"/>
      <c r="U21" s="52"/>
      <c r="V21" s="52"/>
      <c r="W21" s="52"/>
      <c r="X21" s="52"/>
      <c r="Y21" s="52"/>
      <c r="Z21" s="61"/>
      <c r="AA21" s="61"/>
      <c r="AB21" s="88">
        <v>10</v>
      </c>
      <c r="AC21" s="98"/>
      <c r="AD21" s="258" t="s">
        <v>64</v>
      </c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91"/>
      <c r="AQ21" s="92"/>
      <c r="AR21" s="91"/>
      <c r="AS21" s="93"/>
    </row>
    <row r="22" spans="1:45" s="55" customFormat="1" ht="22.5" customHeight="1" x14ac:dyDescent="0.4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61"/>
      <c r="S22" s="52"/>
      <c r="T22" s="52"/>
      <c r="U22" s="52"/>
      <c r="V22" s="52"/>
      <c r="W22" s="52"/>
      <c r="X22" s="52"/>
      <c r="Y22" s="52"/>
      <c r="Z22" s="61"/>
      <c r="AA22" s="61"/>
      <c r="AB22" s="88">
        <v>11</v>
      </c>
      <c r="AC22" s="98"/>
      <c r="AD22" s="258" t="s">
        <v>65</v>
      </c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91"/>
      <c r="AQ22" s="92"/>
      <c r="AR22" s="91"/>
      <c r="AS22" s="93"/>
    </row>
    <row r="23" spans="1:45" s="55" customFormat="1" ht="28.5" customHeight="1" x14ac:dyDescent="0.4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61"/>
      <c r="S23" s="52"/>
      <c r="T23" s="52"/>
      <c r="U23" s="52"/>
      <c r="V23" s="52"/>
      <c r="W23" s="52"/>
      <c r="X23" s="52"/>
      <c r="Y23" s="52"/>
      <c r="Z23" s="61"/>
      <c r="AA23" s="61"/>
      <c r="AB23" s="88">
        <v>12</v>
      </c>
      <c r="AC23" s="98"/>
      <c r="AD23" s="258" t="s">
        <v>66</v>
      </c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91"/>
      <c r="AQ23" s="92"/>
      <c r="AR23" s="91"/>
      <c r="AS23" s="93"/>
    </row>
    <row r="24" spans="1:45" s="55" customFormat="1" ht="24.75" customHeight="1" x14ac:dyDescent="0.4">
      <c r="A24" s="52"/>
      <c r="B24" s="52"/>
      <c r="C24" s="94" t="s">
        <v>67</v>
      </c>
      <c r="D24" s="94"/>
      <c r="E24" s="94"/>
      <c r="F24" s="52">
        <v>21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61"/>
      <c r="S24" s="52"/>
      <c r="T24" s="52"/>
      <c r="U24" s="52"/>
      <c r="V24" s="52"/>
      <c r="W24" s="52"/>
      <c r="X24" s="52"/>
      <c r="Y24" s="52"/>
      <c r="Z24" s="61"/>
      <c r="AA24" s="61"/>
      <c r="AB24" s="88">
        <v>13</v>
      </c>
      <c r="AC24" s="98"/>
      <c r="AD24" s="258" t="s">
        <v>68</v>
      </c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91"/>
      <c r="AQ24" s="92">
        <v>15</v>
      </c>
      <c r="AR24" s="91"/>
      <c r="AS24" s="93">
        <f>SUM(AP24:AR24)</f>
        <v>15</v>
      </c>
    </row>
    <row r="25" spans="1:45" s="55" customFormat="1" ht="23.25" customHeight="1" x14ac:dyDescent="0.4">
      <c r="A25" s="52"/>
      <c r="B25" s="52"/>
      <c r="C25" s="94"/>
      <c r="D25" s="94"/>
      <c r="E25" s="94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61"/>
      <c r="S25" s="52"/>
      <c r="T25" s="52"/>
      <c r="U25" s="52"/>
      <c r="V25" s="52"/>
      <c r="W25" s="52"/>
      <c r="X25" s="52"/>
      <c r="Y25" s="52"/>
      <c r="Z25" s="61"/>
      <c r="AA25" s="61"/>
      <c r="AB25" s="88">
        <v>14</v>
      </c>
      <c r="AC25" s="98"/>
      <c r="AD25" s="263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91"/>
      <c r="AQ25" s="92"/>
      <c r="AR25" s="91"/>
      <c r="AS25" s="93"/>
    </row>
    <row r="26" spans="1:45" s="55" customFormat="1" ht="25.5" customHeight="1" x14ac:dyDescent="0.4">
      <c r="A26" s="52"/>
      <c r="B26" s="52"/>
      <c r="C26" s="94" t="s">
        <v>69</v>
      </c>
      <c r="D26" s="94"/>
      <c r="E26" s="94">
        <v>306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61"/>
      <c r="S26" s="52"/>
      <c r="T26" s="52"/>
      <c r="U26" s="52"/>
      <c r="V26" s="52"/>
      <c r="W26" s="52"/>
      <c r="X26" s="52"/>
      <c r="Y26" s="52"/>
      <c r="Z26" s="61"/>
      <c r="AA26" s="61"/>
      <c r="AB26" s="88">
        <v>15</v>
      </c>
      <c r="AC26" s="99"/>
      <c r="AD26" s="263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91"/>
      <c r="AQ26" s="91"/>
      <c r="AR26" s="91"/>
      <c r="AS26" s="93"/>
    </row>
    <row r="27" spans="1:45" s="100" customFormat="1" ht="22.5" customHeight="1" x14ac:dyDescent="0.4">
      <c r="B27" s="101"/>
      <c r="AB27" s="88">
        <v>16</v>
      </c>
      <c r="AC27" s="102"/>
      <c r="AD27" s="265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103"/>
      <c r="AQ27" s="104"/>
      <c r="AR27" s="103"/>
      <c r="AS27" s="93"/>
    </row>
    <row r="28" spans="1:45" s="55" customFormat="1" ht="33.75" customHeight="1" x14ac:dyDescent="0.4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61"/>
      <c r="S28" s="52"/>
      <c r="T28" s="52"/>
      <c r="U28" s="52"/>
      <c r="V28" s="52"/>
      <c r="W28" s="52"/>
      <c r="X28" s="52"/>
      <c r="Y28" s="52"/>
      <c r="Z28" s="61"/>
      <c r="AA28" s="61"/>
      <c r="AB28" s="88">
        <v>17</v>
      </c>
      <c r="AC28" s="98"/>
      <c r="AD28" s="258" t="s">
        <v>70</v>
      </c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91"/>
      <c r="AQ28" s="92"/>
      <c r="AR28" s="91"/>
      <c r="AS28" s="93"/>
    </row>
    <row r="29" spans="1:45" s="55" customFormat="1" ht="31.5" customHeight="1" x14ac:dyDescent="0.4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61"/>
      <c r="S29" s="52"/>
      <c r="T29" s="52"/>
      <c r="U29" s="52"/>
      <c r="V29" s="52"/>
      <c r="W29" s="52"/>
      <c r="X29" s="52"/>
      <c r="Y29" s="52"/>
      <c r="Z29" s="61"/>
      <c r="AA29" s="61"/>
      <c r="AB29" s="88">
        <v>18</v>
      </c>
      <c r="AC29" s="98"/>
      <c r="AD29" s="258" t="s">
        <v>71</v>
      </c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91"/>
      <c r="AQ29" s="92"/>
      <c r="AR29" s="91"/>
      <c r="AS29" s="93"/>
    </row>
    <row r="30" spans="1:45" s="55" customFormat="1" ht="29.25" customHeight="1" x14ac:dyDescent="0.4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61"/>
      <c r="S30" s="52"/>
      <c r="T30" s="52"/>
      <c r="X30" s="52"/>
      <c r="Y30" s="52"/>
      <c r="Z30" s="61"/>
      <c r="AA30" s="61"/>
      <c r="AB30" s="88">
        <v>19</v>
      </c>
      <c r="AC30" s="98"/>
      <c r="AD30" s="258" t="s">
        <v>72</v>
      </c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91"/>
      <c r="AQ30" s="92"/>
      <c r="AR30" s="91"/>
      <c r="AS30" s="93"/>
    </row>
    <row r="31" spans="1:45" s="55" customFormat="1" ht="38.25" customHeight="1" x14ac:dyDescent="0.4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61"/>
      <c r="S31" s="52"/>
      <c r="T31" s="52"/>
      <c r="U31" s="52"/>
      <c r="V31" s="52"/>
      <c r="W31" s="52"/>
      <c r="X31" s="52"/>
      <c r="Y31" s="52"/>
      <c r="Z31" s="61"/>
      <c r="AA31" s="61"/>
      <c r="AB31" s="88">
        <v>20</v>
      </c>
      <c r="AC31" s="105"/>
      <c r="AD31" s="271" t="s">
        <v>73</v>
      </c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106"/>
      <c r="AQ31" s="107"/>
      <c r="AR31" s="106"/>
      <c r="AS31" s="93"/>
    </row>
    <row r="32" spans="1:45" s="55" customFormat="1" ht="36" customHeight="1" x14ac:dyDescent="0.4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61"/>
      <c r="S32" s="52"/>
      <c r="T32" s="52"/>
      <c r="U32" s="52"/>
      <c r="V32" s="52"/>
      <c r="W32" s="52"/>
      <c r="X32" s="52"/>
      <c r="Y32" s="52"/>
      <c r="Z32" s="61"/>
      <c r="AA32" s="61"/>
      <c r="AB32" s="279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142">
        <f>SUM(AP12:AP31)</f>
        <v>13</v>
      </c>
      <c r="AQ32" s="142">
        <f t="shared" ref="AQ32:AR32" si="4">SUM(AQ12:AQ31)</f>
        <v>48</v>
      </c>
      <c r="AR32" s="142">
        <f t="shared" si="4"/>
        <v>0</v>
      </c>
      <c r="AS32" s="142">
        <f>SUM(AS12:AS31)</f>
        <v>61</v>
      </c>
    </row>
    <row r="33" spans="1:50" s="3" customFormat="1" ht="24.75" customHeight="1" x14ac:dyDescent="0.45">
      <c r="A33" s="6"/>
      <c r="B33" s="9"/>
      <c r="C33" s="9"/>
      <c r="D33" s="9"/>
      <c r="E33" s="22"/>
      <c r="F33" s="22"/>
      <c r="G33" s="22"/>
      <c r="H33" s="22"/>
      <c r="I33" s="10"/>
      <c r="J33" s="10"/>
      <c r="K33" s="10"/>
      <c r="L33" s="10"/>
      <c r="M33" s="311" t="s">
        <v>237</v>
      </c>
      <c r="N33" s="311"/>
      <c r="O33" s="311"/>
      <c r="P33" s="311"/>
      <c r="Q33" s="311"/>
      <c r="R33" s="31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6"/>
      <c r="AK33" s="6"/>
      <c r="AL33" s="6"/>
      <c r="AM33" s="6"/>
      <c r="AN33" s="6"/>
      <c r="AO33" s="6"/>
    </row>
    <row r="34" spans="1:50" s="3" customFormat="1" ht="28.5" customHeight="1" x14ac:dyDescent="0.45">
      <c r="A34" s="6"/>
      <c r="B34" s="9"/>
      <c r="C34" s="9"/>
      <c r="D34" s="9"/>
      <c r="E34" s="22"/>
      <c r="F34" s="22"/>
      <c r="G34" s="22"/>
      <c r="H34" s="22"/>
      <c r="I34" s="10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8"/>
      <c r="AJ34" s="6"/>
      <c r="AK34" s="6"/>
      <c r="AL34" s="6"/>
      <c r="AM34" s="6"/>
      <c r="AN34" s="6"/>
      <c r="AO34" s="6"/>
    </row>
    <row r="35" spans="1:50" s="3" customFormat="1" ht="22.5" customHeight="1" x14ac:dyDescent="0.45">
      <c r="A35" s="6"/>
      <c r="B35" s="6"/>
      <c r="C35" s="6"/>
      <c r="D35" s="6"/>
      <c r="E35" s="21"/>
      <c r="F35" s="21"/>
      <c r="G35" s="21"/>
      <c r="H35" s="21"/>
      <c r="I35" s="7">
        <v>17697</v>
      </c>
      <c r="J35" s="7"/>
      <c r="K35" s="7"/>
      <c r="L35" s="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Q35">
        <v>3692</v>
      </c>
      <c r="AR35"/>
      <c r="AS35"/>
    </row>
    <row r="36" spans="1:50" s="3" customFormat="1" ht="1.5" hidden="1" customHeight="1" x14ac:dyDescent="0.45">
      <c r="A36" s="6"/>
      <c r="B36" s="6"/>
      <c r="C36" s="6"/>
      <c r="D36" s="6"/>
      <c r="E36" s="21"/>
      <c r="F36" s="21"/>
      <c r="G36" s="21"/>
      <c r="H36" s="21"/>
      <c r="I36" s="7"/>
      <c r="J36" s="7"/>
      <c r="K36" s="7"/>
      <c r="L36" s="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50" s="3" customFormat="1" ht="34.5" hidden="1" customHeight="1" x14ac:dyDescent="0.45">
      <c r="A37" s="6"/>
      <c r="B37" s="6"/>
      <c r="C37" s="6"/>
      <c r="D37" s="6"/>
      <c r="E37" s="21"/>
      <c r="F37" s="21"/>
      <c r="G37" s="21"/>
      <c r="H37" s="21"/>
      <c r="I37" s="7"/>
      <c r="J37" s="7"/>
      <c r="K37" s="7"/>
      <c r="L37" s="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50" s="3" customFormat="1" ht="34.5" hidden="1" customHeight="1" x14ac:dyDescent="0.45">
      <c r="A38" s="6"/>
      <c r="B38" s="6"/>
      <c r="C38" s="6"/>
      <c r="D38" s="6"/>
      <c r="E38" s="21"/>
      <c r="F38" s="21"/>
      <c r="G38" s="21"/>
      <c r="H38" s="21"/>
      <c r="I38" s="7"/>
      <c r="J38" s="7"/>
      <c r="K38" s="7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50" s="3" customFormat="1" ht="32.25" hidden="1" customHeight="1" thickBot="1" x14ac:dyDescent="0.5">
      <c r="A39" s="6"/>
      <c r="B39" s="6"/>
      <c r="C39" s="6"/>
      <c r="D39" s="6"/>
      <c r="E39" s="21"/>
      <c r="F39" s="21"/>
      <c r="G39" s="21"/>
      <c r="H39" s="21"/>
      <c r="I39" s="7"/>
      <c r="J39" s="7"/>
      <c r="K39" s="7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50" s="3" customFormat="1" ht="34.5" hidden="1" customHeight="1" x14ac:dyDescent="0.45">
      <c r="A40" s="6"/>
      <c r="B40" s="6"/>
      <c r="C40" s="6"/>
      <c r="D40" s="6"/>
      <c r="E40" s="21"/>
      <c r="F40" s="21"/>
      <c r="G40" s="21"/>
      <c r="H40" s="21"/>
      <c r="I40" s="7"/>
      <c r="J40" s="7"/>
      <c r="K40" s="7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50" s="3" customFormat="1" ht="42.75" customHeight="1" x14ac:dyDescent="0.45">
      <c r="A41" s="287" t="s">
        <v>3</v>
      </c>
      <c r="B41" s="292" t="s">
        <v>4</v>
      </c>
      <c r="C41" s="292" t="s">
        <v>16</v>
      </c>
      <c r="D41" s="292" t="s">
        <v>17</v>
      </c>
      <c r="E41" s="295" t="s">
        <v>23</v>
      </c>
      <c r="F41" s="298" t="s">
        <v>5</v>
      </c>
      <c r="G41" s="298" t="s">
        <v>6</v>
      </c>
      <c r="H41" s="288" t="s">
        <v>14</v>
      </c>
      <c r="I41" s="293" t="s">
        <v>9</v>
      </c>
      <c r="J41" s="297" t="s">
        <v>41</v>
      </c>
      <c r="K41" s="290" t="s">
        <v>189</v>
      </c>
      <c r="L41" s="268" t="s">
        <v>174</v>
      </c>
      <c r="M41" s="274"/>
      <c r="N41" s="274"/>
      <c r="O41" s="274"/>
      <c r="P41" s="274"/>
      <c r="Q41" s="274"/>
      <c r="R41" s="275"/>
      <c r="S41" s="276"/>
      <c r="T41" s="276"/>
      <c r="U41" s="276"/>
      <c r="V41" s="276"/>
      <c r="W41" s="224"/>
      <c r="X41" s="277" t="s">
        <v>28</v>
      </c>
      <c r="Y41" s="325">
        <v>0.1</v>
      </c>
      <c r="Z41" s="139" t="s">
        <v>37</v>
      </c>
      <c r="AA41" s="140"/>
      <c r="AB41" s="270" t="s">
        <v>30</v>
      </c>
      <c r="AC41" s="270"/>
      <c r="AD41" s="281" t="s">
        <v>31</v>
      </c>
      <c r="AE41" s="282"/>
      <c r="AF41" s="283"/>
      <c r="AG41" s="272" t="s">
        <v>32</v>
      </c>
      <c r="AH41" s="284"/>
      <c r="AI41" s="285"/>
      <c r="AJ41" s="285"/>
      <c r="AK41" s="286"/>
      <c r="AL41" s="114"/>
      <c r="AM41" s="114"/>
      <c r="AN41" s="111" t="s">
        <v>7</v>
      </c>
      <c r="AO41" s="112"/>
      <c r="AP41" s="112"/>
      <c r="AQ41" s="112"/>
      <c r="AR41" s="112"/>
      <c r="AS41" s="112"/>
      <c r="AT41" s="112"/>
      <c r="AU41" s="214"/>
      <c r="AV41" s="214"/>
      <c r="AW41" s="113"/>
      <c r="AX41" s="259" t="s">
        <v>15</v>
      </c>
    </row>
    <row r="42" spans="1:50" s="3" customFormat="1" ht="171" customHeight="1" x14ac:dyDescent="0.45">
      <c r="A42" s="287"/>
      <c r="B42" s="292"/>
      <c r="C42" s="292"/>
      <c r="D42" s="292"/>
      <c r="E42" s="296"/>
      <c r="F42" s="298"/>
      <c r="G42" s="298"/>
      <c r="H42" s="289"/>
      <c r="I42" s="294"/>
      <c r="J42" s="296"/>
      <c r="K42" s="291"/>
      <c r="L42" s="269"/>
      <c r="M42" s="25" t="s">
        <v>11</v>
      </c>
      <c r="N42" s="25" t="s">
        <v>116</v>
      </c>
      <c r="O42" s="25" t="s">
        <v>12</v>
      </c>
      <c r="P42" s="25" t="s">
        <v>117</v>
      </c>
      <c r="Q42" s="25" t="s">
        <v>220</v>
      </c>
      <c r="R42" s="25" t="s">
        <v>221</v>
      </c>
      <c r="S42" s="25" t="s">
        <v>11</v>
      </c>
      <c r="T42" s="25" t="s">
        <v>118</v>
      </c>
      <c r="U42" s="25" t="s">
        <v>12</v>
      </c>
      <c r="V42" s="25" t="s">
        <v>119</v>
      </c>
      <c r="W42" s="25" t="s">
        <v>220</v>
      </c>
      <c r="X42" s="278"/>
      <c r="Y42" s="326"/>
      <c r="Z42" s="41" t="s">
        <v>38</v>
      </c>
      <c r="AA42" s="44" t="s">
        <v>39</v>
      </c>
      <c r="AB42" s="41" t="s">
        <v>33</v>
      </c>
      <c r="AC42" s="44" t="s">
        <v>34</v>
      </c>
      <c r="AD42" s="109" t="s">
        <v>75</v>
      </c>
      <c r="AE42" s="49" t="s">
        <v>35</v>
      </c>
      <c r="AF42" s="45" t="s">
        <v>36</v>
      </c>
      <c r="AG42" s="273"/>
      <c r="AH42" s="46" t="s">
        <v>42</v>
      </c>
      <c r="AI42" s="110" t="s">
        <v>76</v>
      </c>
      <c r="AJ42" s="50">
        <v>0.4</v>
      </c>
      <c r="AK42" s="50">
        <v>0.5</v>
      </c>
      <c r="AL42" s="115" t="s">
        <v>78</v>
      </c>
      <c r="AM42" s="115" t="s">
        <v>77</v>
      </c>
      <c r="AN42" s="261" t="s">
        <v>43</v>
      </c>
      <c r="AO42" s="267"/>
      <c r="AP42" s="47" t="s">
        <v>18</v>
      </c>
      <c r="AQ42" s="261" t="s">
        <v>44</v>
      </c>
      <c r="AR42" s="267"/>
      <c r="AS42" s="261" t="s">
        <v>176</v>
      </c>
      <c r="AT42" s="262"/>
      <c r="AU42" s="261" t="s">
        <v>200</v>
      </c>
      <c r="AV42" s="262"/>
      <c r="AW42" s="210" t="s">
        <v>13</v>
      </c>
      <c r="AX42" s="260"/>
    </row>
    <row r="43" spans="1:50" s="17" customFormat="1" ht="34.5" x14ac:dyDescent="0.2">
      <c r="A43" s="191">
        <v>1</v>
      </c>
      <c r="B43" s="218" t="s">
        <v>246</v>
      </c>
      <c r="C43" s="116" t="s">
        <v>247</v>
      </c>
      <c r="D43" s="116" t="s">
        <v>81</v>
      </c>
      <c r="E43" s="116" t="s">
        <v>111</v>
      </c>
      <c r="F43" s="29" t="s">
        <v>284</v>
      </c>
      <c r="G43" s="124">
        <v>5.32</v>
      </c>
      <c r="H43" s="116">
        <v>21</v>
      </c>
      <c r="I43" s="42">
        <f>17697*G43</f>
        <v>94148.040000000008</v>
      </c>
      <c r="J43" s="42">
        <f>I43*0.25</f>
        <v>23537.010000000002</v>
      </c>
      <c r="K43" s="42">
        <f>(I43+J43)*1</f>
        <v>117685.05000000002</v>
      </c>
      <c r="L43" s="42">
        <f>(I43+J43)*2</f>
        <v>235370.10000000003</v>
      </c>
      <c r="M43" s="26"/>
      <c r="N43" s="26"/>
      <c r="O43" s="26"/>
      <c r="P43" s="26"/>
      <c r="Q43" s="26">
        <v>8</v>
      </c>
      <c r="R43" s="40">
        <f>SUM(M43:Q43)</f>
        <v>8</v>
      </c>
      <c r="S43" s="34">
        <f t="shared" ref="S43:S57" si="5">M43/16*L43</f>
        <v>0</v>
      </c>
      <c r="T43" s="34">
        <f t="shared" ref="T43:T88" si="6">N43/16*L43</f>
        <v>0</v>
      </c>
      <c r="U43" s="34">
        <f t="shared" ref="U43:U88" si="7">O43/16*L43</f>
        <v>0</v>
      </c>
      <c r="V43" s="34">
        <f t="shared" ref="V43:V88" si="8">P43/16*L43</f>
        <v>0</v>
      </c>
      <c r="W43" s="34">
        <f>Q43/16*L43</f>
        <v>117685.05000000002</v>
      </c>
      <c r="X43" s="34">
        <f>SUM(S43:W43)</f>
        <v>117685.05000000002</v>
      </c>
      <c r="Y43" s="35">
        <f>X43*0.1</f>
        <v>11768.505000000003</v>
      </c>
      <c r="Z43" s="26">
        <f>SUM(N43+P43)</f>
        <v>0</v>
      </c>
      <c r="AA43" s="26">
        <f t="shared" ref="AA43:AA48" si="9">SUM(($I$35/16)*Z43)*0.4</f>
        <v>0</v>
      </c>
      <c r="AB43" s="26">
        <f t="shared" ref="AB43:AB83" si="10">SUM(R43)</f>
        <v>8</v>
      </c>
      <c r="AC43" s="42">
        <f t="shared" ref="AC43:AC83" si="11">L43*0.3/16*AB43</f>
        <v>35305.515000000007</v>
      </c>
      <c r="AD43" s="42">
        <f t="shared" ref="AD43:AD71" si="12">SUM(R43)</f>
        <v>8</v>
      </c>
      <c r="AE43" s="34">
        <v>40</v>
      </c>
      <c r="AF43" s="42">
        <f t="shared" ref="AF43:AF51" si="13">(L43*AE43/100)/16*AD43</f>
        <v>47074.020000000011</v>
      </c>
      <c r="AG43" s="42"/>
      <c r="AH43" s="130"/>
      <c r="AI43" s="133">
        <v>3</v>
      </c>
      <c r="AJ43" s="36">
        <f>SUM(17697/16*0.4*AH43)</f>
        <v>0</v>
      </c>
      <c r="AK43" s="36">
        <f>SUM(17697/16*0.5*AI43)</f>
        <v>1659.09375</v>
      </c>
      <c r="AL43" s="133"/>
      <c r="AM43" s="133"/>
      <c r="AN43" s="26">
        <f>SUM($I$35*AL43)*0.5</f>
        <v>0</v>
      </c>
      <c r="AO43" s="26">
        <f>SUM($I$35*AM43)*0.6</f>
        <v>0</v>
      </c>
      <c r="AP43" s="26"/>
      <c r="AQ43" s="26"/>
      <c r="AR43" s="26">
        <f>SUM($I$35*AQ43)</f>
        <v>0</v>
      </c>
      <c r="AS43" s="26"/>
      <c r="AT43" s="209">
        <f>SUM($I$35*AS43)</f>
        <v>0</v>
      </c>
      <c r="AU43" s="215"/>
      <c r="AV43" s="36">
        <f>SUM($I$35*AU43)</f>
        <v>0</v>
      </c>
      <c r="AW43" s="211"/>
      <c r="AX43" s="37">
        <f>X43+Y43+AA43+AC43+AF43+AG43+AJ43+AK43+AN43+AO43+AP43+AR43+AT43+AW43+AV43</f>
        <v>213492.18375000005</v>
      </c>
    </row>
    <row r="44" spans="1:50" s="17" customFormat="1" ht="34.5" x14ac:dyDescent="0.2">
      <c r="A44" s="225">
        <v>2</v>
      </c>
      <c r="B44" s="218" t="s">
        <v>82</v>
      </c>
      <c r="C44" s="116" t="s">
        <v>74</v>
      </c>
      <c r="D44" s="116" t="s">
        <v>81</v>
      </c>
      <c r="E44" s="116" t="s">
        <v>109</v>
      </c>
      <c r="F44" s="30" t="s">
        <v>24</v>
      </c>
      <c r="G44" s="124">
        <v>5.2</v>
      </c>
      <c r="H44" s="126">
        <v>32</v>
      </c>
      <c r="I44" s="42">
        <f t="shared" ref="I44:I88" si="14">17697*G44</f>
        <v>92024.400000000009</v>
      </c>
      <c r="J44" s="42">
        <f t="shared" ref="J44:J88" si="15">I44*0.25</f>
        <v>23006.100000000002</v>
      </c>
      <c r="K44" s="42">
        <f t="shared" ref="K44:K88" si="16">(I44+J44)*1</f>
        <v>115030.50000000001</v>
      </c>
      <c r="L44" s="42">
        <f t="shared" ref="L44:L88" si="17">(I44+J44)*2</f>
        <v>230061.00000000003</v>
      </c>
      <c r="M44" s="26"/>
      <c r="N44" s="26"/>
      <c r="O44" s="129">
        <v>6</v>
      </c>
      <c r="P44" s="129"/>
      <c r="Q44" s="129">
        <v>2</v>
      </c>
      <c r="R44" s="40">
        <f t="shared" ref="R44:R88" si="18">SUM(M44:Q44)</f>
        <v>8</v>
      </c>
      <c r="S44" s="34">
        <f t="shared" si="5"/>
        <v>0</v>
      </c>
      <c r="T44" s="34">
        <f t="shared" si="6"/>
        <v>0</v>
      </c>
      <c r="U44" s="34">
        <f t="shared" si="7"/>
        <v>86272.875000000015</v>
      </c>
      <c r="V44" s="34">
        <f t="shared" si="8"/>
        <v>0</v>
      </c>
      <c r="W44" s="34">
        <f t="shared" ref="W44:W65" si="19">Q44/16*L44</f>
        <v>28757.625000000004</v>
      </c>
      <c r="X44" s="34">
        <f t="shared" ref="X44:X83" si="20">SUM(S44:W44)</f>
        <v>115030.50000000001</v>
      </c>
      <c r="Y44" s="35">
        <f t="shared" ref="Y44:Y82" si="21">X44*0.1</f>
        <v>11503.050000000003</v>
      </c>
      <c r="Z44" s="26">
        <f t="shared" ref="Z44:Z65" si="22">SUM(N44+P44)</f>
        <v>0</v>
      </c>
      <c r="AA44" s="26">
        <f t="shared" si="9"/>
        <v>0</v>
      </c>
      <c r="AB44" s="26">
        <f t="shared" si="10"/>
        <v>8</v>
      </c>
      <c r="AC44" s="42">
        <f t="shared" si="11"/>
        <v>34509.15</v>
      </c>
      <c r="AD44" s="42">
        <f t="shared" si="12"/>
        <v>8</v>
      </c>
      <c r="AE44" s="34">
        <v>35</v>
      </c>
      <c r="AF44" s="42">
        <f t="shared" si="13"/>
        <v>40260.675000000003</v>
      </c>
      <c r="AG44" s="42"/>
      <c r="AH44" s="130">
        <v>3</v>
      </c>
      <c r="AI44" s="133"/>
      <c r="AJ44" s="36">
        <f t="shared" ref="AJ44:AJ82" si="23">SUM(17697/16*0.4*AH44)</f>
        <v>1327.2750000000001</v>
      </c>
      <c r="AK44" s="36">
        <f t="shared" ref="AK44:AK82" si="24">SUM(17697/16*0.5*AI44)</f>
        <v>0</v>
      </c>
      <c r="AL44" s="133"/>
      <c r="AM44" s="133"/>
      <c r="AN44" s="26">
        <f>SUM($I$35*AL44)*0.5</f>
        <v>0</v>
      </c>
      <c r="AO44" s="26">
        <f>SUM($I$35*AM44)*0.6</f>
        <v>0</v>
      </c>
      <c r="AP44" s="26"/>
      <c r="AQ44" s="26"/>
      <c r="AR44" s="26">
        <f>SUM($I$35*AQ44)</f>
        <v>0</v>
      </c>
      <c r="AS44" s="26"/>
      <c r="AT44" s="209">
        <f>SUM($I$35*AS44)</f>
        <v>0</v>
      </c>
      <c r="AU44" s="215"/>
      <c r="AV44" s="36">
        <f>SUM($I$35*AU44)</f>
        <v>0</v>
      </c>
      <c r="AW44" s="211"/>
      <c r="AX44" s="37">
        <f t="shared" ref="AX44:AX88" si="25">X44+Y44+AA44+AC44+AF44+AG44+AJ44+AK44+AN44+AO44+AP44+AR44+AT44+AW44+AV44</f>
        <v>202630.65</v>
      </c>
    </row>
    <row r="45" spans="1:50" s="18" customFormat="1" ht="34.5" x14ac:dyDescent="0.2">
      <c r="A45" s="191">
        <v>3</v>
      </c>
      <c r="B45" s="218" t="s">
        <v>83</v>
      </c>
      <c r="C45" s="116" t="s">
        <v>84</v>
      </c>
      <c r="D45" s="116" t="s">
        <v>81</v>
      </c>
      <c r="E45" s="116" t="s">
        <v>106</v>
      </c>
      <c r="F45" s="29" t="s">
        <v>26</v>
      </c>
      <c r="G45" s="124">
        <v>4.7300000000000004</v>
      </c>
      <c r="H45" s="126">
        <v>39</v>
      </c>
      <c r="I45" s="42">
        <f t="shared" si="14"/>
        <v>83706.810000000012</v>
      </c>
      <c r="J45" s="42">
        <f t="shared" si="15"/>
        <v>20926.702500000003</v>
      </c>
      <c r="K45" s="42">
        <f t="shared" si="16"/>
        <v>104633.51250000001</v>
      </c>
      <c r="L45" s="42">
        <f t="shared" si="17"/>
        <v>209267.02500000002</v>
      </c>
      <c r="M45" s="26"/>
      <c r="N45" s="26"/>
      <c r="O45" s="129">
        <v>24</v>
      </c>
      <c r="P45" s="129"/>
      <c r="Q45" s="129"/>
      <c r="R45" s="40">
        <f t="shared" si="18"/>
        <v>24</v>
      </c>
      <c r="S45" s="34">
        <f t="shared" si="5"/>
        <v>0</v>
      </c>
      <c r="T45" s="34">
        <f t="shared" si="6"/>
        <v>0</v>
      </c>
      <c r="U45" s="34">
        <f t="shared" si="7"/>
        <v>313900.53750000003</v>
      </c>
      <c r="V45" s="34">
        <f t="shared" si="8"/>
        <v>0</v>
      </c>
      <c r="W45" s="34">
        <f t="shared" si="19"/>
        <v>0</v>
      </c>
      <c r="X45" s="34">
        <f t="shared" si="20"/>
        <v>313900.53750000003</v>
      </c>
      <c r="Y45" s="35">
        <f t="shared" si="21"/>
        <v>31390.053750000006</v>
      </c>
      <c r="Z45" s="26">
        <f t="shared" si="22"/>
        <v>0</v>
      </c>
      <c r="AA45" s="26">
        <f t="shared" si="9"/>
        <v>0</v>
      </c>
      <c r="AB45" s="26">
        <f t="shared" si="10"/>
        <v>24</v>
      </c>
      <c r="AC45" s="42">
        <f t="shared" si="11"/>
        <v>94170.161250000005</v>
      </c>
      <c r="AD45" s="42">
        <f t="shared" si="12"/>
        <v>24</v>
      </c>
      <c r="AE45" s="34">
        <v>30</v>
      </c>
      <c r="AF45" s="42">
        <f t="shared" si="13"/>
        <v>94170.161250000019</v>
      </c>
      <c r="AG45" s="42"/>
      <c r="AH45" s="130">
        <v>11</v>
      </c>
      <c r="AI45" s="134"/>
      <c r="AJ45" s="36">
        <f t="shared" si="23"/>
        <v>4866.6750000000002</v>
      </c>
      <c r="AK45" s="36">
        <f t="shared" si="24"/>
        <v>0</v>
      </c>
      <c r="AL45" s="133"/>
      <c r="AM45" s="133">
        <v>0.5</v>
      </c>
      <c r="AN45" s="26">
        <f>SUM($I$35*AL45)*0.5</f>
        <v>0</v>
      </c>
      <c r="AO45" s="26">
        <f>SUM($I$35*AM45)*0.6</f>
        <v>5309.0999999999995</v>
      </c>
      <c r="AP45" s="32"/>
      <c r="AQ45" s="32"/>
      <c r="AR45" s="26">
        <f>SUM($I$35*AQ45)</f>
        <v>0</v>
      </c>
      <c r="AS45" s="26"/>
      <c r="AT45" s="209">
        <f>SUM($I$35*AS45)</f>
        <v>0</v>
      </c>
      <c r="AU45" s="216"/>
      <c r="AV45" s="36">
        <f>SUM($I$35*AU45)</f>
        <v>0</v>
      </c>
      <c r="AW45" s="212"/>
      <c r="AX45" s="37">
        <f t="shared" si="25"/>
        <v>543806.68875000009</v>
      </c>
    </row>
    <row r="46" spans="1:50" s="18" customFormat="1" ht="34.5" x14ac:dyDescent="0.2">
      <c r="A46" s="191"/>
      <c r="B46" s="218" t="s">
        <v>185</v>
      </c>
      <c r="C46" s="116" t="s">
        <v>84</v>
      </c>
      <c r="D46" s="116"/>
      <c r="E46" s="116"/>
      <c r="F46" s="29"/>
      <c r="G46" s="124">
        <v>4.7300000000000004</v>
      </c>
      <c r="H46" s="126"/>
      <c r="I46" s="42">
        <f t="shared" si="14"/>
        <v>83706.810000000012</v>
      </c>
      <c r="J46" s="42">
        <f t="shared" si="15"/>
        <v>20926.702500000003</v>
      </c>
      <c r="K46" s="42">
        <f t="shared" si="16"/>
        <v>104633.51250000001</v>
      </c>
      <c r="L46" s="42">
        <f t="shared" si="17"/>
        <v>209267.02500000002</v>
      </c>
      <c r="M46" s="26"/>
      <c r="N46" s="26"/>
      <c r="O46" s="129">
        <v>1</v>
      </c>
      <c r="P46" s="129"/>
      <c r="Q46" s="129">
        <v>6</v>
      </c>
      <c r="R46" s="40">
        <f t="shared" ref="R46" si="26">SUM(M46:Q46)</f>
        <v>7</v>
      </c>
      <c r="S46" s="34">
        <f t="shared" ref="S46" si="27">M46/16*L46</f>
        <v>0</v>
      </c>
      <c r="T46" s="34">
        <f t="shared" ref="T46" si="28">N46/16*L46</f>
        <v>0</v>
      </c>
      <c r="U46" s="34">
        <f t="shared" ref="U46" si="29">O46/16*L46</f>
        <v>13079.189062500001</v>
      </c>
      <c r="V46" s="34">
        <f t="shared" ref="V46" si="30">P46/16*L46</f>
        <v>0</v>
      </c>
      <c r="W46" s="34">
        <f t="shared" ref="W46" si="31">Q46/16*L46</f>
        <v>78475.134375000009</v>
      </c>
      <c r="X46" s="34">
        <f t="shared" ref="X46" si="32">SUM(S46:W46)</f>
        <v>91554.323437500017</v>
      </c>
      <c r="Y46" s="35">
        <f t="shared" ref="Y46" si="33">X46*0.1</f>
        <v>9155.4323437500025</v>
      </c>
      <c r="Z46" s="26">
        <f t="shared" ref="Z46" si="34">SUM(N46+P46)</f>
        <v>0</v>
      </c>
      <c r="AA46" s="26">
        <f t="shared" si="9"/>
        <v>0</v>
      </c>
      <c r="AB46" s="26">
        <f t="shared" ref="AB46" si="35">SUM(R46)</f>
        <v>7</v>
      </c>
      <c r="AC46" s="42">
        <f t="shared" ref="AC46" si="36">L46*0.3/16*AB46</f>
        <v>27466.297031250004</v>
      </c>
      <c r="AD46" s="42">
        <f t="shared" ref="AD46" si="37">SUM(R46)</f>
        <v>7</v>
      </c>
      <c r="AE46" s="34">
        <v>30</v>
      </c>
      <c r="AF46" s="42">
        <f t="shared" ref="AF46" si="38">(L46*AE46/100)/16*AD46</f>
        <v>27466.297031250004</v>
      </c>
      <c r="AG46" s="42"/>
      <c r="AH46" s="130"/>
      <c r="AI46" s="134"/>
      <c r="AJ46" s="36"/>
      <c r="AK46" s="36"/>
      <c r="AL46" s="133"/>
      <c r="AM46" s="133"/>
      <c r="AN46" s="26"/>
      <c r="AO46" s="26"/>
      <c r="AP46" s="32"/>
      <c r="AQ46" s="32"/>
      <c r="AR46" s="26"/>
      <c r="AS46" s="26"/>
      <c r="AT46" s="209"/>
      <c r="AU46" s="216"/>
      <c r="AV46" s="36"/>
      <c r="AW46" s="212"/>
      <c r="AX46" s="37">
        <f t="shared" si="25"/>
        <v>155642.34984375001</v>
      </c>
    </row>
    <row r="47" spans="1:50" s="17" customFormat="1" ht="34.5" x14ac:dyDescent="0.2">
      <c r="A47" s="16">
        <v>4</v>
      </c>
      <c r="B47" s="118" t="s">
        <v>85</v>
      </c>
      <c r="C47" s="116" t="s">
        <v>248</v>
      </c>
      <c r="D47" s="116" t="s">
        <v>81</v>
      </c>
      <c r="E47" s="116" t="s">
        <v>177</v>
      </c>
      <c r="F47" s="29" t="s">
        <v>26</v>
      </c>
      <c r="G47" s="125">
        <v>4.7300000000000004</v>
      </c>
      <c r="H47" s="116">
        <v>35.049999999999997</v>
      </c>
      <c r="I47" s="42">
        <f t="shared" si="14"/>
        <v>83706.810000000012</v>
      </c>
      <c r="J47" s="42">
        <f t="shared" si="15"/>
        <v>20926.702500000003</v>
      </c>
      <c r="K47" s="42">
        <f t="shared" si="16"/>
        <v>104633.51250000001</v>
      </c>
      <c r="L47" s="42">
        <f t="shared" si="17"/>
        <v>209267.02500000002</v>
      </c>
      <c r="M47" s="26">
        <v>21</v>
      </c>
      <c r="N47" s="26"/>
      <c r="O47" s="129"/>
      <c r="P47" s="129"/>
      <c r="Q47" s="129"/>
      <c r="R47" s="40">
        <f t="shared" si="18"/>
        <v>21</v>
      </c>
      <c r="S47" s="34">
        <f t="shared" si="5"/>
        <v>274662.97031250002</v>
      </c>
      <c r="T47" s="34">
        <f t="shared" si="6"/>
        <v>0</v>
      </c>
      <c r="U47" s="34">
        <f t="shared" si="7"/>
        <v>0</v>
      </c>
      <c r="V47" s="34">
        <f t="shared" si="8"/>
        <v>0</v>
      </c>
      <c r="W47" s="34">
        <f t="shared" si="19"/>
        <v>0</v>
      </c>
      <c r="X47" s="34">
        <f t="shared" si="20"/>
        <v>274662.97031250002</v>
      </c>
      <c r="Y47" s="35">
        <f t="shared" si="21"/>
        <v>27466.297031250004</v>
      </c>
      <c r="Z47" s="26">
        <f t="shared" si="22"/>
        <v>0</v>
      </c>
      <c r="AA47" s="26">
        <f t="shared" si="9"/>
        <v>0</v>
      </c>
      <c r="AB47" s="26">
        <f t="shared" si="10"/>
        <v>21</v>
      </c>
      <c r="AC47" s="42">
        <f t="shared" si="11"/>
        <v>82398.891093750004</v>
      </c>
      <c r="AD47" s="42">
        <f t="shared" si="12"/>
        <v>21</v>
      </c>
      <c r="AE47" s="34"/>
      <c r="AF47" s="42">
        <f t="shared" si="13"/>
        <v>0</v>
      </c>
      <c r="AG47" s="42"/>
      <c r="AH47" s="130">
        <v>16</v>
      </c>
      <c r="AI47" s="133"/>
      <c r="AJ47" s="36">
        <f t="shared" si="23"/>
        <v>7078.8</v>
      </c>
      <c r="AK47" s="36">
        <f t="shared" si="24"/>
        <v>0</v>
      </c>
      <c r="AL47" s="133">
        <v>1</v>
      </c>
      <c r="AM47" s="133"/>
      <c r="AN47" s="26">
        <f>SUM($I$35*AL47)*0.5</f>
        <v>8848.5</v>
      </c>
      <c r="AO47" s="26">
        <f>SUM($I$35*AM47)*0.6</f>
        <v>0</v>
      </c>
      <c r="AP47" s="26"/>
      <c r="AQ47" s="26"/>
      <c r="AR47" s="26">
        <f>SUM($I$35*AQ47)</f>
        <v>0</v>
      </c>
      <c r="AS47" s="26"/>
      <c r="AT47" s="209">
        <f>SUM($I$35*AS47)</f>
        <v>0</v>
      </c>
      <c r="AU47" s="215"/>
      <c r="AV47" s="36">
        <f>SUM($I$35*AU47)</f>
        <v>0</v>
      </c>
      <c r="AW47" s="211"/>
      <c r="AX47" s="37">
        <f t="shared" si="25"/>
        <v>400455.45843750006</v>
      </c>
    </row>
    <row r="48" spans="1:50" s="24" customFormat="1" ht="34.5" x14ac:dyDescent="0.2">
      <c r="A48" s="191">
        <v>5</v>
      </c>
      <c r="B48" s="27" t="s">
        <v>86</v>
      </c>
      <c r="C48" s="116" t="s">
        <v>110</v>
      </c>
      <c r="D48" s="116" t="s">
        <v>81</v>
      </c>
      <c r="E48" s="116" t="s">
        <v>109</v>
      </c>
      <c r="F48" s="30" t="s">
        <v>24</v>
      </c>
      <c r="G48" s="125">
        <v>5.2</v>
      </c>
      <c r="H48" s="116">
        <v>27.01</v>
      </c>
      <c r="I48" s="42">
        <f t="shared" si="14"/>
        <v>92024.400000000009</v>
      </c>
      <c r="J48" s="42">
        <f t="shared" si="15"/>
        <v>23006.100000000002</v>
      </c>
      <c r="K48" s="42">
        <f t="shared" si="16"/>
        <v>115030.50000000001</v>
      </c>
      <c r="L48" s="42">
        <f t="shared" si="17"/>
        <v>230061.00000000003</v>
      </c>
      <c r="M48" s="129"/>
      <c r="N48" s="129"/>
      <c r="O48" s="129">
        <v>18</v>
      </c>
      <c r="P48" s="129"/>
      <c r="Q48" s="129">
        <v>6</v>
      </c>
      <c r="R48" s="40">
        <f t="shared" si="18"/>
        <v>24</v>
      </c>
      <c r="S48" s="34">
        <f t="shared" si="5"/>
        <v>0</v>
      </c>
      <c r="T48" s="34">
        <f t="shared" si="6"/>
        <v>0</v>
      </c>
      <c r="U48" s="34">
        <f t="shared" si="7"/>
        <v>258818.62500000003</v>
      </c>
      <c r="V48" s="34">
        <f t="shared" si="8"/>
        <v>0</v>
      </c>
      <c r="W48" s="34">
        <f t="shared" si="19"/>
        <v>86272.875000000015</v>
      </c>
      <c r="X48" s="34">
        <f t="shared" si="20"/>
        <v>345091.50000000006</v>
      </c>
      <c r="Y48" s="35">
        <f t="shared" si="21"/>
        <v>34509.150000000009</v>
      </c>
      <c r="Z48" s="26">
        <f t="shared" si="22"/>
        <v>0</v>
      </c>
      <c r="AA48" s="26">
        <f t="shared" si="9"/>
        <v>0</v>
      </c>
      <c r="AB48" s="26">
        <f t="shared" si="10"/>
        <v>24</v>
      </c>
      <c r="AC48" s="42">
        <f t="shared" si="11"/>
        <v>103527.45000000001</v>
      </c>
      <c r="AD48" s="42">
        <f t="shared" si="12"/>
        <v>24</v>
      </c>
      <c r="AE48" s="34">
        <v>35</v>
      </c>
      <c r="AF48" s="42">
        <f t="shared" si="13"/>
        <v>120782.02500000001</v>
      </c>
      <c r="AG48" s="43"/>
      <c r="AH48" s="131">
        <v>11.5</v>
      </c>
      <c r="AI48" s="135"/>
      <c r="AJ48" s="36">
        <f t="shared" si="23"/>
        <v>5087.8874999999998</v>
      </c>
      <c r="AK48" s="36">
        <f t="shared" si="24"/>
        <v>0</v>
      </c>
      <c r="AL48" s="133"/>
      <c r="AM48" s="133">
        <v>0.5</v>
      </c>
      <c r="AN48" s="26">
        <f>SUM($I$35*AL48)*0.5</f>
        <v>0</v>
      </c>
      <c r="AO48" s="26">
        <f>SUM($I$35*AM48)*0.6</f>
        <v>5309.0999999999995</v>
      </c>
      <c r="AP48" s="33"/>
      <c r="AQ48" s="33"/>
      <c r="AR48" s="26">
        <f>SUM($I$35*AQ48)</f>
        <v>0</v>
      </c>
      <c r="AS48" s="26"/>
      <c r="AT48" s="209">
        <f>SUM($I$35*AS48)</f>
        <v>0</v>
      </c>
      <c r="AU48" s="217"/>
      <c r="AV48" s="36">
        <f>SUM($I$35*AU48)</f>
        <v>0</v>
      </c>
      <c r="AW48" s="213"/>
      <c r="AX48" s="37">
        <f t="shared" si="25"/>
        <v>614307.11250000005</v>
      </c>
    </row>
    <row r="49" spans="1:50" s="24" customFormat="1" ht="34.5" x14ac:dyDescent="0.2">
      <c r="A49" s="191"/>
      <c r="B49" s="116" t="s">
        <v>185</v>
      </c>
      <c r="C49" s="116" t="s">
        <v>275</v>
      </c>
      <c r="D49" s="116"/>
      <c r="E49" s="116"/>
      <c r="F49" s="30"/>
      <c r="G49" s="125">
        <v>5.2</v>
      </c>
      <c r="H49" s="116"/>
      <c r="I49" s="42">
        <f t="shared" si="14"/>
        <v>92024.400000000009</v>
      </c>
      <c r="J49" s="42">
        <f t="shared" si="15"/>
        <v>23006.100000000002</v>
      </c>
      <c r="K49" s="42">
        <f t="shared" si="16"/>
        <v>115030.50000000001</v>
      </c>
      <c r="L49" s="42">
        <f t="shared" si="17"/>
        <v>230061.00000000003</v>
      </c>
      <c r="M49" s="129"/>
      <c r="N49" s="129"/>
      <c r="O49" s="129"/>
      <c r="P49" s="129"/>
      <c r="Q49" s="129">
        <v>4</v>
      </c>
      <c r="R49" s="40">
        <f t="shared" si="18"/>
        <v>4</v>
      </c>
      <c r="S49" s="34">
        <f t="shared" si="5"/>
        <v>0</v>
      </c>
      <c r="T49" s="34">
        <f t="shared" si="6"/>
        <v>0</v>
      </c>
      <c r="U49" s="34">
        <f t="shared" si="7"/>
        <v>0</v>
      </c>
      <c r="V49" s="34">
        <f t="shared" si="8"/>
        <v>0</v>
      </c>
      <c r="W49" s="34">
        <f t="shared" si="19"/>
        <v>57515.250000000007</v>
      </c>
      <c r="X49" s="34">
        <f t="shared" si="20"/>
        <v>57515.250000000007</v>
      </c>
      <c r="Y49" s="35">
        <f t="shared" si="21"/>
        <v>5751.5250000000015</v>
      </c>
      <c r="Z49" s="26"/>
      <c r="AA49" s="26"/>
      <c r="AB49" s="26">
        <f t="shared" si="10"/>
        <v>4</v>
      </c>
      <c r="AC49" s="42">
        <f t="shared" si="11"/>
        <v>17254.575000000001</v>
      </c>
      <c r="AD49" s="42">
        <f t="shared" si="12"/>
        <v>4</v>
      </c>
      <c r="AE49" s="34">
        <v>35</v>
      </c>
      <c r="AF49" s="42">
        <f t="shared" si="13"/>
        <v>20130.337500000001</v>
      </c>
      <c r="AG49" s="43"/>
      <c r="AH49" s="131"/>
      <c r="AI49" s="135"/>
      <c r="AJ49" s="36"/>
      <c r="AK49" s="36"/>
      <c r="AL49" s="133"/>
      <c r="AM49" s="133"/>
      <c r="AN49" s="26"/>
      <c r="AO49" s="26"/>
      <c r="AP49" s="33"/>
      <c r="AQ49" s="33"/>
      <c r="AR49" s="26"/>
      <c r="AS49" s="26"/>
      <c r="AT49" s="209"/>
      <c r="AU49" s="217"/>
      <c r="AV49" s="36"/>
      <c r="AW49" s="213"/>
      <c r="AX49" s="37">
        <f t="shared" si="25"/>
        <v>100651.6875</v>
      </c>
    </row>
    <row r="50" spans="1:50" s="24" customFormat="1" ht="34.5" x14ac:dyDescent="0.2">
      <c r="A50" s="309">
        <v>6</v>
      </c>
      <c r="B50" s="218" t="s">
        <v>87</v>
      </c>
      <c r="C50" s="116" t="s">
        <v>249</v>
      </c>
      <c r="D50" s="116" t="s">
        <v>81</v>
      </c>
      <c r="E50" s="116" t="s">
        <v>20</v>
      </c>
      <c r="F50" s="30" t="s">
        <v>24</v>
      </c>
      <c r="G50" s="125">
        <v>5.2</v>
      </c>
      <c r="H50" s="116">
        <v>43</v>
      </c>
      <c r="I50" s="42">
        <f t="shared" si="14"/>
        <v>92024.400000000009</v>
      </c>
      <c r="J50" s="42">
        <f t="shared" si="15"/>
        <v>23006.100000000002</v>
      </c>
      <c r="K50" s="42">
        <f t="shared" si="16"/>
        <v>115030.50000000001</v>
      </c>
      <c r="L50" s="42">
        <f t="shared" si="17"/>
        <v>230061.00000000003</v>
      </c>
      <c r="M50" s="129">
        <v>16</v>
      </c>
      <c r="N50" s="129"/>
      <c r="O50" s="129"/>
      <c r="P50" s="129"/>
      <c r="Q50" s="129"/>
      <c r="R50" s="40">
        <f t="shared" si="18"/>
        <v>16</v>
      </c>
      <c r="S50" s="34">
        <f t="shared" si="5"/>
        <v>230061.00000000003</v>
      </c>
      <c r="T50" s="34">
        <f t="shared" si="6"/>
        <v>0</v>
      </c>
      <c r="U50" s="34">
        <f t="shared" si="7"/>
        <v>0</v>
      </c>
      <c r="V50" s="34">
        <f t="shared" si="8"/>
        <v>0</v>
      </c>
      <c r="W50" s="34">
        <f t="shared" si="19"/>
        <v>0</v>
      </c>
      <c r="X50" s="34">
        <f t="shared" si="20"/>
        <v>230061.00000000003</v>
      </c>
      <c r="Y50" s="35">
        <f t="shared" si="21"/>
        <v>23006.100000000006</v>
      </c>
      <c r="Z50" s="26">
        <f t="shared" si="22"/>
        <v>0</v>
      </c>
      <c r="AA50" s="26">
        <f t="shared" ref="AA50:AA57" si="39">SUM(($I$35/16)*Z50)*0.4</f>
        <v>0</v>
      </c>
      <c r="AB50" s="26">
        <f t="shared" si="10"/>
        <v>16</v>
      </c>
      <c r="AC50" s="42">
        <f t="shared" si="11"/>
        <v>69018.3</v>
      </c>
      <c r="AD50" s="42">
        <f t="shared" si="12"/>
        <v>16</v>
      </c>
      <c r="AE50" s="39">
        <v>35</v>
      </c>
      <c r="AF50" s="42">
        <f t="shared" si="13"/>
        <v>80521.350000000006</v>
      </c>
      <c r="AG50" s="43"/>
      <c r="AH50" s="131">
        <v>8</v>
      </c>
      <c r="AI50" s="135"/>
      <c r="AJ50" s="36">
        <f t="shared" si="23"/>
        <v>3539.4</v>
      </c>
      <c r="AK50" s="36">
        <f t="shared" si="24"/>
        <v>0</v>
      </c>
      <c r="AL50" s="133">
        <v>0.5</v>
      </c>
      <c r="AM50" s="133"/>
      <c r="AN50" s="26">
        <f>SUM($I$35*AL50)*0.5</f>
        <v>4424.25</v>
      </c>
      <c r="AO50" s="26">
        <f>SUM($I$35*AM50)*0.6</f>
        <v>0</v>
      </c>
      <c r="AP50" s="33"/>
      <c r="AQ50" s="33"/>
      <c r="AR50" s="26">
        <f>SUM($I$35*AQ50)</f>
        <v>0</v>
      </c>
      <c r="AS50" s="26"/>
      <c r="AT50" s="209">
        <f>SUM($I$35*AS50)</f>
        <v>0</v>
      </c>
      <c r="AU50" s="217"/>
      <c r="AV50" s="36">
        <f t="shared" ref="AV50:AV58" si="40">SUM($I$35*AU50)</f>
        <v>0</v>
      </c>
      <c r="AW50" s="213"/>
      <c r="AX50" s="37">
        <f t="shared" si="25"/>
        <v>410570.4</v>
      </c>
    </row>
    <row r="51" spans="1:50" s="24" customFormat="1" ht="34.5" x14ac:dyDescent="0.2">
      <c r="A51" s="310"/>
      <c r="B51" s="116" t="s">
        <v>185</v>
      </c>
      <c r="C51" s="116" t="s">
        <v>249</v>
      </c>
      <c r="D51" s="116"/>
      <c r="E51" s="116"/>
      <c r="F51" s="30"/>
      <c r="G51" s="125">
        <v>5.2</v>
      </c>
      <c r="H51" s="116"/>
      <c r="I51" s="42">
        <f t="shared" si="14"/>
        <v>92024.400000000009</v>
      </c>
      <c r="J51" s="42">
        <f t="shared" si="15"/>
        <v>23006.100000000002</v>
      </c>
      <c r="K51" s="42">
        <f t="shared" si="16"/>
        <v>115030.50000000001</v>
      </c>
      <c r="L51" s="42">
        <f t="shared" si="17"/>
        <v>230061.00000000003</v>
      </c>
      <c r="M51" s="129">
        <v>3</v>
      </c>
      <c r="N51" s="129"/>
      <c r="O51" s="129"/>
      <c r="P51" s="129"/>
      <c r="Q51" s="129"/>
      <c r="R51" s="40">
        <f t="shared" si="18"/>
        <v>3</v>
      </c>
      <c r="S51" s="34">
        <f t="shared" si="5"/>
        <v>43136.437500000007</v>
      </c>
      <c r="T51" s="34">
        <f t="shared" si="6"/>
        <v>0</v>
      </c>
      <c r="U51" s="34">
        <f t="shared" si="7"/>
        <v>0</v>
      </c>
      <c r="V51" s="34">
        <f t="shared" si="8"/>
        <v>0</v>
      </c>
      <c r="W51" s="34">
        <f t="shared" si="19"/>
        <v>0</v>
      </c>
      <c r="X51" s="34">
        <f t="shared" si="20"/>
        <v>43136.437500000007</v>
      </c>
      <c r="Y51" s="35">
        <f t="shared" ref="Y51" si="41">X51*0.1</f>
        <v>4313.6437500000011</v>
      </c>
      <c r="Z51" s="26">
        <f t="shared" si="22"/>
        <v>0</v>
      </c>
      <c r="AA51" s="26">
        <f t="shared" si="39"/>
        <v>0</v>
      </c>
      <c r="AB51" s="26">
        <f t="shared" si="10"/>
        <v>3</v>
      </c>
      <c r="AC51" s="42">
        <f t="shared" si="11"/>
        <v>12940.931250000001</v>
      </c>
      <c r="AD51" s="42">
        <f t="shared" si="12"/>
        <v>3</v>
      </c>
      <c r="AE51" s="39">
        <v>35</v>
      </c>
      <c r="AF51" s="42">
        <f t="shared" si="13"/>
        <v>15097.753125000001</v>
      </c>
      <c r="AG51" s="43"/>
      <c r="AH51" s="131"/>
      <c r="AI51" s="135"/>
      <c r="AJ51" s="36"/>
      <c r="AK51" s="36"/>
      <c r="AL51" s="133"/>
      <c r="AM51" s="133"/>
      <c r="AN51" s="26"/>
      <c r="AO51" s="26"/>
      <c r="AP51" s="33"/>
      <c r="AQ51" s="33"/>
      <c r="AR51" s="26"/>
      <c r="AS51" s="26"/>
      <c r="AT51" s="209"/>
      <c r="AU51" s="217"/>
      <c r="AV51" s="36">
        <f t="shared" si="40"/>
        <v>0</v>
      </c>
      <c r="AW51" s="213"/>
      <c r="AX51" s="37">
        <f t="shared" si="25"/>
        <v>75488.765625000015</v>
      </c>
    </row>
    <row r="52" spans="1:50" s="24" customFormat="1" ht="34.5" x14ac:dyDescent="0.2">
      <c r="A52" s="16">
        <v>7</v>
      </c>
      <c r="B52" s="118" t="s">
        <v>88</v>
      </c>
      <c r="C52" s="116" t="s">
        <v>180</v>
      </c>
      <c r="D52" s="116" t="s">
        <v>81</v>
      </c>
      <c r="E52" s="116" t="s">
        <v>199</v>
      </c>
      <c r="F52" s="30" t="s">
        <v>24</v>
      </c>
      <c r="G52" s="124">
        <v>5.2</v>
      </c>
      <c r="H52" s="116">
        <v>33.049999999999997</v>
      </c>
      <c r="I52" s="42">
        <f t="shared" si="14"/>
        <v>92024.400000000009</v>
      </c>
      <c r="J52" s="42">
        <f t="shared" si="15"/>
        <v>23006.100000000002</v>
      </c>
      <c r="K52" s="42">
        <f t="shared" si="16"/>
        <v>115030.50000000001</v>
      </c>
      <c r="L52" s="42">
        <f t="shared" si="17"/>
        <v>230061.00000000003</v>
      </c>
      <c r="M52" s="129">
        <v>6</v>
      </c>
      <c r="N52" s="129"/>
      <c r="O52" s="129">
        <v>9.5</v>
      </c>
      <c r="P52" s="129">
        <v>1</v>
      </c>
      <c r="Q52" s="129">
        <v>4</v>
      </c>
      <c r="R52" s="40">
        <f t="shared" si="18"/>
        <v>20.5</v>
      </c>
      <c r="S52" s="34">
        <f t="shared" si="5"/>
        <v>86272.875000000015</v>
      </c>
      <c r="T52" s="34">
        <f t="shared" si="6"/>
        <v>0</v>
      </c>
      <c r="U52" s="34">
        <f t="shared" si="7"/>
        <v>136598.71875000003</v>
      </c>
      <c r="V52" s="34">
        <f t="shared" si="8"/>
        <v>14378.812500000002</v>
      </c>
      <c r="W52" s="34">
        <f t="shared" si="19"/>
        <v>57515.250000000007</v>
      </c>
      <c r="X52" s="34">
        <f t="shared" si="20"/>
        <v>294765.65625000006</v>
      </c>
      <c r="Y52" s="35">
        <f t="shared" si="21"/>
        <v>29476.565625000007</v>
      </c>
      <c r="Z52" s="26">
        <f t="shared" si="22"/>
        <v>1</v>
      </c>
      <c r="AA52" s="26">
        <f t="shared" si="39"/>
        <v>442.42500000000001</v>
      </c>
      <c r="AB52" s="26">
        <f t="shared" si="10"/>
        <v>20.5</v>
      </c>
      <c r="AC52" s="42">
        <f t="shared" si="11"/>
        <v>88429.696875000009</v>
      </c>
      <c r="AD52" s="42">
        <f t="shared" si="12"/>
        <v>20.5</v>
      </c>
      <c r="AE52" s="34">
        <v>30</v>
      </c>
      <c r="AF52" s="42">
        <f t="shared" ref="AF52:AF88" si="42">(L52*AE52/100)/16*AD52</f>
        <v>88429.696875000009</v>
      </c>
      <c r="AG52" s="43"/>
      <c r="AH52" s="131"/>
      <c r="AI52" s="135"/>
      <c r="AJ52" s="36">
        <f t="shared" si="23"/>
        <v>0</v>
      </c>
      <c r="AK52" s="36">
        <f t="shared" si="24"/>
        <v>0</v>
      </c>
      <c r="AL52" s="133"/>
      <c r="AM52" s="133"/>
      <c r="AN52" s="26">
        <f t="shared" ref="AN52:AN60" si="43">SUM($I$35*AL52)*0.5</f>
        <v>0</v>
      </c>
      <c r="AO52" s="26">
        <f t="shared" ref="AO52:AO60" si="44">SUM($I$35*AM52)*0.6</f>
        <v>0</v>
      </c>
      <c r="AP52" s="33"/>
      <c r="AQ52" s="33">
        <v>10</v>
      </c>
      <c r="AR52" s="33">
        <f>SUM($AQ$35*AQ52)</f>
        <v>36920</v>
      </c>
      <c r="AS52" s="33"/>
      <c r="AT52" s="209">
        <f t="shared" ref="AT52:AT58" si="45">SUM($I$35*AS52)</f>
        <v>0</v>
      </c>
      <c r="AU52" s="217"/>
      <c r="AV52" s="36">
        <f t="shared" si="40"/>
        <v>0</v>
      </c>
      <c r="AW52" s="213"/>
      <c r="AX52" s="37">
        <f t="shared" si="25"/>
        <v>538464.04062500014</v>
      </c>
    </row>
    <row r="53" spans="1:50" s="24" customFormat="1" ht="34.5" x14ac:dyDescent="0.2">
      <c r="A53" s="191">
        <v>8</v>
      </c>
      <c r="B53" s="218" t="s">
        <v>191</v>
      </c>
      <c r="C53" s="116" t="s">
        <v>89</v>
      </c>
      <c r="D53" s="116" t="s">
        <v>81</v>
      </c>
      <c r="E53" s="116" t="s">
        <v>192</v>
      </c>
      <c r="F53" s="30" t="s">
        <v>26</v>
      </c>
      <c r="G53" s="125">
        <v>4.1900000000000004</v>
      </c>
      <c r="H53" s="116">
        <v>2.06</v>
      </c>
      <c r="I53" s="42">
        <f t="shared" si="14"/>
        <v>74150.430000000008</v>
      </c>
      <c r="J53" s="42">
        <f t="shared" si="15"/>
        <v>18537.607500000002</v>
      </c>
      <c r="K53" s="42">
        <f t="shared" si="16"/>
        <v>92688.037500000006</v>
      </c>
      <c r="L53" s="42">
        <f t="shared" si="17"/>
        <v>185376.07500000001</v>
      </c>
      <c r="M53" s="129">
        <v>12</v>
      </c>
      <c r="N53" s="129"/>
      <c r="O53" s="129">
        <v>5</v>
      </c>
      <c r="P53" s="129"/>
      <c r="Q53" s="129"/>
      <c r="R53" s="40">
        <f t="shared" si="18"/>
        <v>17</v>
      </c>
      <c r="S53" s="34">
        <f t="shared" si="5"/>
        <v>139032.05625000002</v>
      </c>
      <c r="T53" s="34">
        <f t="shared" si="6"/>
        <v>0</v>
      </c>
      <c r="U53" s="34">
        <f t="shared" si="7"/>
        <v>57930.0234375</v>
      </c>
      <c r="V53" s="34">
        <f t="shared" si="8"/>
        <v>0</v>
      </c>
      <c r="W53" s="34">
        <f t="shared" si="19"/>
        <v>0</v>
      </c>
      <c r="X53" s="34">
        <f t="shared" si="20"/>
        <v>196962.07968750002</v>
      </c>
      <c r="Y53" s="35">
        <f t="shared" si="21"/>
        <v>19696.207968750005</v>
      </c>
      <c r="Z53" s="26">
        <f t="shared" si="22"/>
        <v>0</v>
      </c>
      <c r="AA53" s="26">
        <f t="shared" si="39"/>
        <v>0</v>
      </c>
      <c r="AB53" s="26">
        <f t="shared" si="10"/>
        <v>17</v>
      </c>
      <c r="AC53" s="42">
        <f t="shared" si="11"/>
        <v>59088.623906250003</v>
      </c>
      <c r="AD53" s="42">
        <f t="shared" si="12"/>
        <v>17</v>
      </c>
      <c r="AE53" s="39"/>
      <c r="AF53" s="42">
        <f t="shared" si="42"/>
        <v>0</v>
      </c>
      <c r="AG53" s="43"/>
      <c r="AH53" s="131"/>
      <c r="AI53" s="135">
        <v>11</v>
      </c>
      <c r="AJ53" s="36">
        <f t="shared" si="23"/>
        <v>0</v>
      </c>
      <c r="AK53" s="36">
        <f t="shared" si="24"/>
        <v>6083.34375</v>
      </c>
      <c r="AL53" s="133"/>
      <c r="AM53" s="133"/>
      <c r="AN53" s="26">
        <f t="shared" si="43"/>
        <v>0</v>
      </c>
      <c r="AO53" s="26">
        <f t="shared" si="44"/>
        <v>0</v>
      </c>
      <c r="AP53" s="33"/>
      <c r="AQ53" s="33"/>
      <c r="AR53" s="26">
        <f t="shared" ref="AR53:AR58" si="46">SUM($I$35*AQ53)</f>
        <v>0</v>
      </c>
      <c r="AS53" s="26"/>
      <c r="AT53" s="209">
        <f t="shared" si="45"/>
        <v>0</v>
      </c>
      <c r="AU53" s="217"/>
      <c r="AV53" s="36">
        <f t="shared" si="40"/>
        <v>0</v>
      </c>
      <c r="AW53" s="213"/>
      <c r="AX53" s="37">
        <f t="shared" si="25"/>
        <v>281830.25531250006</v>
      </c>
    </row>
    <row r="54" spans="1:50" s="24" customFormat="1" ht="34.5" x14ac:dyDescent="0.2">
      <c r="A54" s="16">
        <v>9</v>
      </c>
      <c r="B54" s="118" t="s">
        <v>90</v>
      </c>
      <c r="C54" s="116" t="s">
        <v>195</v>
      </c>
      <c r="D54" s="116" t="s">
        <v>81</v>
      </c>
      <c r="E54" s="28" t="s">
        <v>109</v>
      </c>
      <c r="F54" s="30" t="s">
        <v>25</v>
      </c>
      <c r="G54" s="125">
        <v>5.08</v>
      </c>
      <c r="H54" s="126">
        <v>24.05</v>
      </c>
      <c r="I54" s="42">
        <f t="shared" si="14"/>
        <v>89900.76</v>
      </c>
      <c r="J54" s="42">
        <f t="shared" si="15"/>
        <v>22475.19</v>
      </c>
      <c r="K54" s="42">
        <f t="shared" si="16"/>
        <v>112375.95</v>
      </c>
      <c r="L54" s="42">
        <f t="shared" si="17"/>
        <v>224751.9</v>
      </c>
      <c r="M54" s="128">
        <v>18</v>
      </c>
      <c r="N54" s="128"/>
      <c r="O54" s="129"/>
      <c r="P54" s="129"/>
      <c r="Q54" s="129"/>
      <c r="R54" s="40">
        <f t="shared" si="18"/>
        <v>18</v>
      </c>
      <c r="S54" s="34">
        <f t="shared" si="5"/>
        <v>252845.88749999998</v>
      </c>
      <c r="T54" s="34">
        <f t="shared" si="6"/>
        <v>0</v>
      </c>
      <c r="U54" s="34">
        <f t="shared" si="7"/>
        <v>0</v>
      </c>
      <c r="V54" s="34">
        <f t="shared" si="8"/>
        <v>0</v>
      </c>
      <c r="W54" s="34">
        <f t="shared" si="19"/>
        <v>0</v>
      </c>
      <c r="X54" s="34">
        <f t="shared" si="20"/>
        <v>252845.88749999998</v>
      </c>
      <c r="Y54" s="35">
        <f t="shared" si="21"/>
        <v>25284.588749999999</v>
      </c>
      <c r="Z54" s="26">
        <f t="shared" si="22"/>
        <v>0</v>
      </c>
      <c r="AA54" s="26">
        <f t="shared" si="39"/>
        <v>0</v>
      </c>
      <c r="AB54" s="26">
        <f t="shared" si="10"/>
        <v>18</v>
      </c>
      <c r="AC54" s="42">
        <f t="shared" si="11"/>
        <v>75853.766249999986</v>
      </c>
      <c r="AD54" s="42">
        <f t="shared" si="12"/>
        <v>18</v>
      </c>
      <c r="AE54" s="39">
        <v>35</v>
      </c>
      <c r="AF54" s="42">
        <f t="shared" si="42"/>
        <v>88496.060624999998</v>
      </c>
      <c r="AG54" s="43"/>
      <c r="AH54" s="131">
        <v>8</v>
      </c>
      <c r="AI54" s="135"/>
      <c r="AJ54" s="36">
        <f t="shared" si="23"/>
        <v>3539.4</v>
      </c>
      <c r="AK54" s="36">
        <f t="shared" si="24"/>
        <v>0</v>
      </c>
      <c r="AL54" s="133">
        <v>0.5</v>
      </c>
      <c r="AM54" s="133"/>
      <c r="AN54" s="26">
        <f t="shared" si="43"/>
        <v>4424.25</v>
      </c>
      <c r="AO54" s="26">
        <f t="shared" si="44"/>
        <v>0</v>
      </c>
      <c r="AP54" s="33"/>
      <c r="AQ54" s="33"/>
      <c r="AR54" s="26">
        <f t="shared" si="46"/>
        <v>0</v>
      </c>
      <c r="AS54" s="26"/>
      <c r="AT54" s="209">
        <f t="shared" si="45"/>
        <v>0</v>
      </c>
      <c r="AU54" s="217"/>
      <c r="AV54" s="36">
        <f t="shared" si="40"/>
        <v>0</v>
      </c>
      <c r="AW54" s="213"/>
      <c r="AX54" s="37">
        <f t="shared" si="25"/>
        <v>450443.953125</v>
      </c>
    </row>
    <row r="55" spans="1:50" s="24" customFormat="1" ht="41.25" customHeight="1" x14ac:dyDescent="0.2">
      <c r="A55" s="16">
        <v>10</v>
      </c>
      <c r="B55" s="118" t="s">
        <v>250</v>
      </c>
      <c r="C55" s="116" t="s">
        <v>251</v>
      </c>
      <c r="D55" s="116" t="s">
        <v>81</v>
      </c>
      <c r="E55" s="28" t="s">
        <v>109</v>
      </c>
      <c r="F55" s="30" t="s">
        <v>26</v>
      </c>
      <c r="G55" s="124">
        <v>4.59</v>
      </c>
      <c r="H55" s="126">
        <v>16</v>
      </c>
      <c r="I55" s="42">
        <f t="shared" si="14"/>
        <v>81229.23</v>
      </c>
      <c r="J55" s="42">
        <f t="shared" si="15"/>
        <v>20307.307499999999</v>
      </c>
      <c r="K55" s="42">
        <f t="shared" si="16"/>
        <v>101536.53749999999</v>
      </c>
      <c r="L55" s="42">
        <f t="shared" si="17"/>
        <v>203073.07499999998</v>
      </c>
      <c r="M55" s="129"/>
      <c r="N55" s="129"/>
      <c r="O55" s="129">
        <v>20</v>
      </c>
      <c r="P55" s="129"/>
      <c r="Q55" s="129">
        <v>4</v>
      </c>
      <c r="R55" s="40">
        <f t="shared" si="18"/>
        <v>24</v>
      </c>
      <c r="S55" s="34">
        <f t="shared" si="5"/>
        <v>0</v>
      </c>
      <c r="T55" s="34">
        <f t="shared" si="6"/>
        <v>0</v>
      </c>
      <c r="U55" s="34">
        <f t="shared" si="7"/>
        <v>253841.34374999997</v>
      </c>
      <c r="V55" s="34">
        <f t="shared" si="8"/>
        <v>0</v>
      </c>
      <c r="W55" s="34">
        <f t="shared" si="19"/>
        <v>50768.268749999996</v>
      </c>
      <c r="X55" s="34">
        <f t="shared" si="20"/>
        <v>304609.61249999999</v>
      </c>
      <c r="Y55" s="35">
        <f t="shared" si="21"/>
        <v>30460.96125</v>
      </c>
      <c r="Z55" s="26">
        <f t="shared" si="22"/>
        <v>0</v>
      </c>
      <c r="AA55" s="26">
        <f t="shared" si="39"/>
        <v>0</v>
      </c>
      <c r="AB55" s="26">
        <f t="shared" si="10"/>
        <v>24</v>
      </c>
      <c r="AC55" s="42">
        <f t="shared" si="11"/>
        <v>91382.883749999994</v>
      </c>
      <c r="AD55" s="42">
        <v>24</v>
      </c>
      <c r="AE55" s="39">
        <v>35</v>
      </c>
      <c r="AF55" s="42">
        <f t="shared" si="42"/>
        <v>106613.36437499998</v>
      </c>
      <c r="AG55" s="43"/>
      <c r="AH55" s="131"/>
      <c r="AI55" s="135"/>
      <c r="AJ55" s="36">
        <f t="shared" si="23"/>
        <v>0</v>
      </c>
      <c r="AK55" s="36">
        <f t="shared" si="24"/>
        <v>0</v>
      </c>
      <c r="AL55" s="133"/>
      <c r="AM55" s="133">
        <v>0.5</v>
      </c>
      <c r="AN55" s="26">
        <f t="shared" si="43"/>
        <v>0</v>
      </c>
      <c r="AO55" s="26">
        <f t="shared" si="44"/>
        <v>5309.0999999999995</v>
      </c>
      <c r="AP55" s="33"/>
      <c r="AQ55" s="33"/>
      <c r="AR55" s="26">
        <f t="shared" si="46"/>
        <v>0</v>
      </c>
      <c r="AS55" s="26"/>
      <c r="AT55" s="209">
        <f t="shared" si="45"/>
        <v>0</v>
      </c>
      <c r="AU55" s="217"/>
      <c r="AV55" s="36">
        <f t="shared" si="40"/>
        <v>0</v>
      </c>
      <c r="AW55" s="213"/>
      <c r="AX55" s="37">
        <f t="shared" si="25"/>
        <v>538375.92187499988</v>
      </c>
    </row>
    <row r="56" spans="1:50" s="24" customFormat="1" ht="41.25" customHeight="1" x14ac:dyDescent="0.2">
      <c r="A56" s="225"/>
      <c r="B56" s="118" t="s">
        <v>185</v>
      </c>
      <c r="C56" s="116" t="s">
        <v>252</v>
      </c>
      <c r="D56" s="116" t="s">
        <v>81</v>
      </c>
      <c r="E56" s="28" t="s">
        <v>177</v>
      </c>
      <c r="F56" s="30" t="s">
        <v>26</v>
      </c>
      <c r="G56" s="124">
        <v>4.59</v>
      </c>
      <c r="H56" s="126">
        <v>16</v>
      </c>
      <c r="I56" s="42">
        <f t="shared" si="14"/>
        <v>81229.23</v>
      </c>
      <c r="J56" s="42">
        <f t="shared" si="15"/>
        <v>20307.307499999999</v>
      </c>
      <c r="K56" s="42">
        <f t="shared" si="16"/>
        <v>101536.53749999999</v>
      </c>
      <c r="L56" s="42">
        <f t="shared" si="17"/>
        <v>203073.07499999998</v>
      </c>
      <c r="M56" s="129"/>
      <c r="N56" s="129"/>
      <c r="O56" s="129">
        <v>3</v>
      </c>
      <c r="P56" s="129"/>
      <c r="Q56" s="129">
        <v>2</v>
      </c>
      <c r="R56" s="40">
        <f t="shared" si="18"/>
        <v>5</v>
      </c>
      <c r="S56" s="34">
        <f t="shared" si="5"/>
        <v>0</v>
      </c>
      <c r="T56" s="34">
        <f t="shared" si="6"/>
        <v>0</v>
      </c>
      <c r="U56" s="34">
        <f t="shared" ref="U56" si="47">O56/16*L56</f>
        <v>38076.201562499999</v>
      </c>
      <c r="V56" s="34">
        <f t="shared" ref="V56" si="48">P56/16*L56</f>
        <v>0</v>
      </c>
      <c r="W56" s="34">
        <f t="shared" ref="W56" si="49">Q56/16*L56</f>
        <v>25384.134374999998</v>
      </c>
      <c r="X56" s="34">
        <f t="shared" ref="X56" si="50">SUM(S56:W56)</f>
        <v>63460.3359375</v>
      </c>
      <c r="Y56" s="35">
        <f t="shared" ref="Y56" si="51">X56*0.1</f>
        <v>6346.0335937500004</v>
      </c>
      <c r="Z56" s="26">
        <f t="shared" ref="Z56" si="52">SUM(N56+P56)</f>
        <v>0</v>
      </c>
      <c r="AA56" s="26">
        <f t="shared" ref="AA56" si="53">SUM(($I$35/16)*Z56)*0.4</f>
        <v>0</v>
      </c>
      <c r="AB56" s="26">
        <f t="shared" ref="AB56" si="54">SUM(R56)</f>
        <v>5</v>
      </c>
      <c r="AC56" s="42">
        <f t="shared" ref="AC56" si="55">L56*0.3/16*AB56</f>
        <v>19038.100781249999</v>
      </c>
      <c r="AD56" s="42">
        <f t="shared" ref="AD56" si="56">SUM(R56)</f>
        <v>5</v>
      </c>
      <c r="AE56" s="39">
        <v>35</v>
      </c>
      <c r="AF56" s="42">
        <f t="shared" ref="AF56" si="57">(L56*AE56/100)/16*AD56</f>
        <v>22211.117578124995</v>
      </c>
      <c r="AG56" s="43"/>
      <c r="AH56" s="131"/>
      <c r="AI56" s="135"/>
      <c r="AJ56" s="36">
        <f t="shared" ref="AJ56" si="58">SUM(17697/16*0.4*AH56)</f>
        <v>0</v>
      </c>
      <c r="AK56" s="36">
        <f t="shared" ref="AK56" si="59">SUM(17697/16*0.5*AI56)</f>
        <v>0</v>
      </c>
      <c r="AL56" s="133"/>
      <c r="AM56" s="133"/>
      <c r="AN56" s="26">
        <f t="shared" ref="AN56" si="60">SUM($I$35*AL56)*0.5</f>
        <v>0</v>
      </c>
      <c r="AO56" s="26">
        <f t="shared" ref="AO56" si="61">SUM($I$35*AM56)*0.6</f>
        <v>0</v>
      </c>
      <c r="AP56" s="33"/>
      <c r="AQ56" s="33"/>
      <c r="AR56" s="26">
        <f t="shared" ref="AR56" si="62">SUM($I$35*AQ56)</f>
        <v>0</v>
      </c>
      <c r="AS56" s="26"/>
      <c r="AT56" s="209">
        <f t="shared" ref="AT56" si="63">SUM($I$35*AS56)</f>
        <v>0</v>
      </c>
      <c r="AU56" s="217"/>
      <c r="AV56" s="36">
        <f t="shared" ref="AV56" si="64">SUM($I$35*AU56)</f>
        <v>0</v>
      </c>
      <c r="AW56" s="213"/>
      <c r="AX56" s="37">
        <f t="shared" si="25"/>
        <v>111055.587890625</v>
      </c>
    </row>
    <row r="57" spans="1:50" s="24" customFormat="1" ht="34.5" x14ac:dyDescent="0.2">
      <c r="A57" s="191">
        <v>11</v>
      </c>
      <c r="B57" s="118" t="s">
        <v>91</v>
      </c>
      <c r="C57" s="116" t="s">
        <v>181</v>
      </c>
      <c r="D57" s="116" t="s">
        <v>81</v>
      </c>
      <c r="E57" s="28" t="s">
        <v>177</v>
      </c>
      <c r="F57" s="30" t="s">
        <v>26</v>
      </c>
      <c r="G57" s="125">
        <v>4.49</v>
      </c>
      <c r="H57" s="126">
        <v>15</v>
      </c>
      <c r="I57" s="42">
        <f t="shared" si="14"/>
        <v>79459.53</v>
      </c>
      <c r="J57" s="42">
        <f t="shared" si="15"/>
        <v>19864.8825</v>
      </c>
      <c r="K57" s="42">
        <f t="shared" si="16"/>
        <v>99324.412500000006</v>
      </c>
      <c r="L57" s="42">
        <f t="shared" si="17"/>
        <v>198648.82500000001</v>
      </c>
      <c r="M57" s="129"/>
      <c r="N57" s="129"/>
      <c r="O57" s="129">
        <v>8</v>
      </c>
      <c r="P57" s="129"/>
      <c r="Q57" s="129"/>
      <c r="R57" s="40">
        <f t="shared" si="18"/>
        <v>8</v>
      </c>
      <c r="S57" s="34">
        <f t="shared" si="5"/>
        <v>0</v>
      </c>
      <c r="T57" s="34">
        <f t="shared" si="6"/>
        <v>0</v>
      </c>
      <c r="U57" s="34">
        <f t="shared" si="7"/>
        <v>99324.412500000006</v>
      </c>
      <c r="V57" s="34">
        <f t="shared" si="8"/>
        <v>0</v>
      </c>
      <c r="W57" s="34">
        <f t="shared" si="19"/>
        <v>0</v>
      </c>
      <c r="X57" s="34">
        <f t="shared" si="20"/>
        <v>99324.412500000006</v>
      </c>
      <c r="Y57" s="35">
        <f t="shared" si="21"/>
        <v>9932.4412500000017</v>
      </c>
      <c r="Z57" s="26">
        <f t="shared" si="22"/>
        <v>0</v>
      </c>
      <c r="AA57" s="26">
        <f t="shared" si="39"/>
        <v>0</v>
      </c>
      <c r="AB57" s="26">
        <f t="shared" si="10"/>
        <v>8</v>
      </c>
      <c r="AC57" s="42">
        <f t="shared" si="11"/>
        <v>29797.32375</v>
      </c>
      <c r="AD57" s="42">
        <f t="shared" si="12"/>
        <v>8</v>
      </c>
      <c r="AE57" s="39"/>
      <c r="AF57" s="42">
        <f t="shared" si="42"/>
        <v>0</v>
      </c>
      <c r="AG57" s="43"/>
      <c r="AH57" s="131"/>
      <c r="AI57" s="135"/>
      <c r="AJ57" s="36">
        <f t="shared" si="23"/>
        <v>0</v>
      </c>
      <c r="AK57" s="36">
        <f t="shared" si="24"/>
        <v>0</v>
      </c>
      <c r="AL57" s="133"/>
      <c r="AM57" s="133"/>
      <c r="AN57" s="26">
        <f t="shared" si="43"/>
        <v>0</v>
      </c>
      <c r="AO57" s="26">
        <f t="shared" si="44"/>
        <v>0</v>
      </c>
      <c r="AP57" s="33"/>
      <c r="AQ57" s="33"/>
      <c r="AR57" s="26">
        <f t="shared" si="46"/>
        <v>0</v>
      </c>
      <c r="AS57" s="26"/>
      <c r="AT57" s="209">
        <f t="shared" si="45"/>
        <v>0</v>
      </c>
      <c r="AU57" s="217"/>
      <c r="AV57" s="36">
        <f t="shared" si="40"/>
        <v>0</v>
      </c>
      <c r="AW57" s="213"/>
      <c r="AX57" s="37">
        <f t="shared" si="25"/>
        <v>139054.17750000002</v>
      </c>
    </row>
    <row r="58" spans="1:50" s="24" customFormat="1" ht="34.5" x14ac:dyDescent="0.2">
      <c r="A58" s="191">
        <v>12</v>
      </c>
      <c r="B58" s="218" t="s">
        <v>92</v>
      </c>
      <c r="C58" s="116" t="s">
        <v>93</v>
      </c>
      <c r="D58" s="116" t="s">
        <v>81</v>
      </c>
      <c r="E58" s="28" t="s">
        <v>115</v>
      </c>
      <c r="F58" s="30" t="s">
        <v>26</v>
      </c>
      <c r="G58" s="125">
        <v>4.59</v>
      </c>
      <c r="H58" s="116">
        <v>18.079999999999998</v>
      </c>
      <c r="I58" s="42">
        <f t="shared" si="14"/>
        <v>81229.23</v>
      </c>
      <c r="J58" s="42">
        <f t="shared" si="15"/>
        <v>20307.307499999999</v>
      </c>
      <c r="K58" s="42">
        <f t="shared" si="16"/>
        <v>101536.53749999999</v>
      </c>
      <c r="L58" s="42">
        <f t="shared" si="17"/>
        <v>203073.07499999998</v>
      </c>
      <c r="M58" s="129"/>
      <c r="N58" s="129"/>
      <c r="O58" s="129">
        <v>21</v>
      </c>
      <c r="P58" s="245">
        <v>2</v>
      </c>
      <c r="Q58" s="129">
        <v>3</v>
      </c>
      <c r="R58" s="40">
        <f t="shared" si="18"/>
        <v>26</v>
      </c>
      <c r="S58" s="34">
        <f t="shared" ref="S58:S88" si="65">M58/16*L58</f>
        <v>0</v>
      </c>
      <c r="T58" s="34">
        <f t="shared" si="6"/>
        <v>0</v>
      </c>
      <c r="U58" s="34">
        <f t="shared" si="7"/>
        <v>266533.41093749995</v>
      </c>
      <c r="V58" s="34">
        <f t="shared" si="8"/>
        <v>25384.134374999998</v>
      </c>
      <c r="W58" s="34">
        <f t="shared" si="19"/>
        <v>38076.201562499999</v>
      </c>
      <c r="X58" s="34">
        <f t="shared" si="20"/>
        <v>329993.74687499995</v>
      </c>
      <c r="Y58" s="35">
        <f t="shared" si="21"/>
        <v>32999.3746875</v>
      </c>
      <c r="Z58" s="26">
        <f t="shared" si="22"/>
        <v>2</v>
      </c>
      <c r="AA58" s="26">
        <f>SUM(($I$35/16)*Z58)*0.4</f>
        <v>884.85</v>
      </c>
      <c r="AB58" s="26">
        <f t="shared" si="10"/>
        <v>26</v>
      </c>
      <c r="AC58" s="42">
        <f t="shared" si="11"/>
        <v>98998.124062499992</v>
      </c>
      <c r="AD58" s="42">
        <v>24</v>
      </c>
      <c r="AE58" s="39">
        <v>30</v>
      </c>
      <c r="AF58" s="42">
        <f t="shared" si="42"/>
        <v>91382.883749999994</v>
      </c>
      <c r="AG58" s="43"/>
      <c r="AH58" s="131"/>
      <c r="AI58" s="135">
        <v>12</v>
      </c>
      <c r="AJ58" s="36">
        <f t="shared" si="23"/>
        <v>0</v>
      </c>
      <c r="AK58" s="36">
        <f t="shared" si="24"/>
        <v>6636.375</v>
      </c>
      <c r="AL58" s="133"/>
      <c r="AM58" s="133">
        <v>0.5</v>
      </c>
      <c r="AN58" s="26">
        <f t="shared" si="43"/>
        <v>0</v>
      </c>
      <c r="AO58" s="26">
        <f t="shared" si="44"/>
        <v>5309.0999999999995</v>
      </c>
      <c r="AP58" s="33"/>
      <c r="AQ58" s="33"/>
      <c r="AR58" s="26">
        <f t="shared" si="46"/>
        <v>0</v>
      </c>
      <c r="AS58" s="26"/>
      <c r="AT58" s="209">
        <f t="shared" si="45"/>
        <v>0</v>
      </c>
      <c r="AU58" s="217"/>
      <c r="AV58" s="36">
        <f t="shared" si="40"/>
        <v>0</v>
      </c>
      <c r="AW58" s="213"/>
      <c r="AX58" s="37">
        <f t="shared" si="25"/>
        <v>566204.45437499997</v>
      </c>
    </row>
    <row r="59" spans="1:50" s="24" customFormat="1" ht="34.5" x14ac:dyDescent="0.2">
      <c r="A59" s="191">
        <v>13</v>
      </c>
      <c r="B59" s="218" t="s">
        <v>253</v>
      </c>
      <c r="C59" s="116" t="s">
        <v>93</v>
      </c>
      <c r="D59" s="116" t="s">
        <v>81</v>
      </c>
      <c r="E59" s="28" t="s">
        <v>115</v>
      </c>
      <c r="F59" s="30" t="s">
        <v>26</v>
      </c>
      <c r="G59" s="125">
        <v>4.49</v>
      </c>
      <c r="H59" s="116">
        <v>15.03</v>
      </c>
      <c r="I59" s="42">
        <f t="shared" si="14"/>
        <v>79459.53</v>
      </c>
      <c r="J59" s="42">
        <f t="shared" si="15"/>
        <v>19864.8825</v>
      </c>
      <c r="K59" s="42">
        <f t="shared" si="16"/>
        <v>99324.412500000006</v>
      </c>
      <c r="L59" s="42">
        <f t="shared" si="17"/>
        <v>198648.82500000001</v>
      </c>
      <c r="M59" s="129"/>
      <c r="N59" s="129"/>
      <c r="O59" s="129">
        <v>18</v>
      </c>
      <c r="P59" s="129"/>
      <c r="Q59" s="129">
        <v>6</v>
      </c>
      <c r="R59" s="40">
        <f t="shared" ref="R59" si="66">SUM(M59:Q59)</f>
        <v>24</v>
      </c>
      <c r="S59" s="34">
        <f t="shared" ref="S59" si="67">M59/16*L59</f>
        <v>0</v>
      </c>
      <c r="T59" s="34">
        <f t="shared" ref="T59" si="68">N59/16*L59</f>
        <v>0</v>
      </c>
      <c r="U59" s="34">
        <f t="shared" si="7"/>
        <v>223479.92812500001</v>
      </c>
      <c r="V59" s="34">
        <f t="shared" si="8"/>
        <v>0</v>
      </c>
      <c r="W59" s="34">
        <f t="shared" si="19"/>
        <v>74493.309375000012</v>
      </c>
      <c r="X59" s="34">
        <f t="shared" ref="X59" si="69">SUM(S59:W59)</f>
        <v>297973.23750000005</v>
      </c>
      <c r="Y59" s="35">
        <f t="shared" ref="Y59" si="70">X59*0.1</f>
        <v>29797.323750000007</v>
      </c>
      <c r="Z59" s="26"/>
      <c r="AA59" s="26"/>
      <c r="AB59" s="26">
        <f t="shared" ref="AB59" si="71">SUM(R59)</f>
        <v>24</v>
      </c>
      <c r="AC59" s="42">
        <f t="shared" ref="AC59" si="72">L59*0.3/16*AB59</f>
        <v>89391.971250000002</v>
      </c>
      <c r="AD59" s="42">
        <f t="shared" si="12"/>
        <v>24</v>
      </c>
      <c r="AE59" s="39">
        <v>30</v>
      </c>
      <c r="AF59" s="42">
        <f t="shared" si="42"/>
        <v>89391.971250000002</v>
      </c>
      <c r="AG59" s="43"/>
      <c r="AH59" s="131"/>
      <c r="AI59" s="135">
        <v>13</v>
      </c>
      <c r="AJ59" s="36">
        <f t="shared" ref="AJ59" si="73">SUM(17697/16*0.4*AH59)</f>
        <v>0</v>
      </c>
      <c r="AK59" s="36">
        <f t="shared" ref="AK59" si="74">SUM(17697/16*0.5*AI59)</f>
        <v>7189.40625</v>
      </c>
      <c r="AL59" s="133"/>
      <c r="AM59" s="133">
        <v>0.5</v>
      </c>
      <c r="AN59" s="26">
        <f t="shared" ref="AN59" si="75">SUM($I$35*AL59)*0.5</f>
        <v>0</v>
      </c>
      <c r="AO59" s="26">
        <f t="shared" ref="AO59" si="76">SUM($I$35*AM59)*0.6</f>
        <v>5309.0999999999995</v>
      </c>
      <c r="AP59" s="33"/>
      <c r="AQ59" s="33"/>
      <c r="AR59" s="26">
        <f t="shared" ref="AR59" si="77">SUM($I$35*AQ59)</f>
        <v>0</v>
      </c>
      <c r="AS59" s="26"/>
      <c r="AT59" s="209">
        <f t="shared" ref="AT59" si="78">SUM($I$35*AS59)</f>
        <v>0</v>
      </c>
      <c r="AU59" s="217"/>
      <c r="AV59" s="36">
        <f t="shared" ref="AV59" si="79">SUM($I$35*AU59)</f>
        <v>0</v>
      </c>
      <c r="AW59" s="213"/>
      <c r="AX59" s="37">
        <f t="shared" si="25"/>
        <v>519053.01</v>
      </c>
    </row>
    <row r="60" spans="1:50" s="24" customFormat="1" ht="34.5" x14ac:dyDescent="0.2">
      <c r="A60" s="16">
        <v>14</v>
      </c>
      <c r="B60" s="118" t="s">
        <v>94</v>
      </c>
      <c r="C60" s="116" t="s">
        <v>89</v>
      </c>
      <c r="D60" s="116" t="s">
        <v>81</v>
      </c>
      <c r="E60" s="28" t="s">
        <v>112</v>
      </c>
      <c r="F60" s="30" t="s">
        <v>25</v>
      </c>
      <c r="G60" s="125">
        <v>4.9000000000000004</v>
      </c>
      <c r="H60" s="116">
        <v>15</v>
      </c>
      <c r="I60" s="42">
        <f t="shared" si="14"/>
        <v>86715.3</v>
      </c>
      <c r="J60" s="42">
        <f t="shared" si="15"/>
        <v>21678.825000000001</v>
      </c>
      <c r="K60" s="42">
        <f t="shared" si="16"/>
        <v>108394.125</v>
      </c>
      <c r="L60" s="42">
        <f t="shared" si="17"/>
        <v>216788.25</v>
      </c>
      <c r="M60" s="129"/>
      <c r="N60" s="129"/>
      <c r="O60" s="129">
        <v>23</v>
      </c>
      <c r="P60" s="129"/>
      <c r="Q60" s="129"/>
      <c r="R60" s="40">
        <f t="shared" si="18"/>
        <v>23</v>
      </c>
      <c r="S60" s="34">
        <f t="shared" si="65"/>
        <v>0</v>
      </c>
      <c r="T60" s="34">
        <f t="shared" si="6"/>
        <v>0</v>
      </c>
      <c r="U60" s="34">
        <f t="shared" si="7"/>
        <v>311633.109375</v>
      </c>
      <c r="V60" s="34">
        <f t="shared" si="8"/>
        <v>0</v>
      </c>
      <c r="W60" s="34">
        <f t="shared" si="19"/>
        <v>0</v>
      </c>
      <c r="X60" s="34">
        <f t="shared" si="20"/>
        <v>311633.109375</v>
      </c>
      <c r="Y60" s="35">
        <f t="shared" si="21"/>
        <v>31163.310937500002</v>
      </c>
      <c r="Z60" s="26">
        <f t="shared" si="22"/>
        <v>0</v>
      </c>
      <c r="AA60" s="26">
        <f>SUM(($I$35/16)*Z60)*0.4</f>
        <v>0</v>
      </c>
      <c r="AB60" s="26">
        <f t="shared" si="10"/>
        <v>23</v>
      </c>
      <c r="AC60" s="42">
        <f t="shared" si="11"/>
        <v>93489.932812500003</v>
      </c>
      <c r="AD60" s="42">
        <f t="shared" si="12"/>
        <v>23</v>
      </c>
      <c r="AE60" s="39">
        <v>35</v>
      </c>
      <c r="AF60" s="42">
        <f t="shared" si="42"/>
        <v>109071.58828124999</v>
      </c>
      <c r="AG60" s="43"/>
      <c r="AH60" s="131"/>
      <c r="AI60" s="135">
        <v>19</v>
      </c>
      <c r="AJ60" s="36">
        <f t="shared" si="23"/>
        <v>0</v>
      </c>
      <c r="AK60" s="36">
        <f t="shared" si="24"/>
        <v>10507.59375</v>
      </c>
      <c r="AL60" s="133"/>
      <c r="AM60" s="133">
        <v>1</v>
      </c>
      <c r="AN60" s="26">
        <f t="shared" si="43"/>
        <v>0</v>
      </c>
      <c r="AO60" s="26">
        <f t="shared" si="44"/>
        <v>10618.199999999999</v>
      </c>
      <c r="AP60" s="33"/>
      <c r="AQ60" s="33"/>
      <c r="AR60" s="26">
        <f>SUM($I$35*AQ60)</f>
        <v>0</v>
      </c>
      <c r="AS60" s="26"/>
      <c r="AT60" s="209">
        <f>SUM($I$35*AS60)</f>
        <v>0</v>
      </c>
      <c r="AU60" s="217"/>
      <c r="AV60" s="36">
        <f>SUM($I$35*AU60)</f>
        <v>0</v>
      </c>
      <c r="AW60" s="213"/>
      <c r="AX60" s="37">
        <f t="shared" si="25"/>
        <v>566483.73515624995</v>
      </c>
    </row>
    <row r="61" spans="1:50" s="24" customFormat="1" ht="34.5" x14ac:dyDescent="0.2">
      <c r="A61" s="16">
        <v>15</v>
      </c>
      <c r="B61" s="118" t="s">
        <v>254</v>
      </c>
      <c r="C61" s="116" t="s">
        <v>93</v>
      </c>
      <c r="D61" s="116" t="s">
        <v>276</v>
      </c>
      <c r="E61" s="28" t="s">
        <v>192</v>
      </c>
      <c r="F61" s="30" t="s">
        <v>29</v>
      </c>
      <c r="G61" s="125">
        <v>3.32</v>
      </c>
      <c r="H61" s="116" t="s">
        <v>216</v>
      </c>
      <c r="I61" s="42">
        <f t="shared" si="14"/>
        <v>58754.039999999994</v>
      </c>
      <c r="J61" s="42">
        <f t="shared" si="15"/>
        <v>14688.509999999998</v>
      </c>
      <c r="K61" s="42">
        <f t="shared" si="16"/>
        <v>73442.549999999988</v>
      </c>
      <c r="L61" s="42">
        <f t="shared" si="17"/>
        <v>146885.09999999998</v>
      </c>
      <c r="M61" s="129">
        <v>8</v>
      </c>
      <c r="N61" s="129"/>
      <c r="O61" s="129"/>
      <c r="P61" s="129"/>
      <c r="Q61" s="129"/>
      <c r="R61" s="40">
        <f t="shared" si="18"/>
        <v>8</v>
      </c>
      <c r="S61" s="34">
        <f t="shared" si="65"/>
        <v>73442.549999999988</v>
      </c>
      <c r="T61" s="34">
        <f t="shared" si="6"/>
        <v>0</v>
      </c>
      <c r="U61" s="34">
        <f t="shared" si="7"/>
        <v>0</v>
      </c>
      <c r="V61" s="34">
        <f t="shared" si="8"/>
        <v>0</v>
      </c>
      <c r="W61" s="34">
        <f t="shared" si="19"/>
        <v>0</v>
      </c>
      <c r="X61" s="34">
        <f t="shared" ref="X61" si="80">SUM(S61:W61)</f>
        <v>73442.549999999988</v>
      </c>
      <c r="Y61" s="35">
        <f t="shared" ref="Y61" si="81">X61*0.1</f>
        <v>7344.2549999999992</v>
      </c>
      <c r="Z61" s="26"/>
      <c r="AA61" s="26"/>
      <c r="AB61" s="26">
        <f t="shared" ref="AB61" si="82">SUM(R61)</f>
        <v>8</v>
      </c>
      <c r="AC61" s="42">
        <f t="shared" ref="AC61" si="83">L61*0.3/16*AB61</f>
        <v>22032.764999999996</v>
      </c>
      <c r="AD61" s="42">
        <f t="shared" ref="AD61" si="84">SUM(R61)</f>
        <v>8</v>
      </c>
      <c r="AE61" s="39"/>
      <c r="AF61" s="42">
        <f t="shared" si="42"/>
        <v>0</v>
      </c>
      <c r="AG61" s="43"/>
      <c r="AH61" s="131"/>
      <c r="AI61" s="135">
        <v>7.5</v>
      </c>
      <c r="AJ61" s="36"/>
      <c r="AK61" s="36">
        <f t="shared" si="24"/>
        <v>4147.734375</v>
      </c>
      <c r="AL61" s="133"/>
      <c r="AM61" s="133"/>
      <c r="AN61" s="26"/>
      <c r="AO61" s="26"/>
      <c r="AP61" s="33"/>
      <c r="AQ61" s="33"/>
      <c r="AR61" s="26"/>
      <c r="AS61" s="26"/>
      <c r="AT61" s="209"/>
      <c r="AU61" s="217"/>
      <c r="AV61" s="36">
        <f>SUM($I$35*AU61)</f>
        <v>0</v>
      </c>
      <c r="AW61" s="213"/>
      <c r="AX61" s="37">
        <f t="shared" si="25"/>
        <v>106967.30437499999</v>
      </c>
    </row>
    <row r="62" spans="1:50" s="24" customFormat="1" ht="34.5" x14ac:dyDescent="0.2">
      <c r="A62" s="16"/>
      <c r="B62" s="118" t="s">
        <v>185</v>
      </c>
      <c r="C62" s="116" t="s">
        <v>93</v>
      </c>
      <c r="D62" s="116" t="s">
        <v>276</v>
      </c>
      <c r="E62" s="28" t="s">
        <v>192</v>
      </c>
      <c r="F62" s="30" t="s">
        <v>29</v>
      </c>
      <c r="G62" s="125">
        <v>3.32</v>
      </c>
      <c r="H62" s="116" t="s">
        <v>216</v>
      </c>
      <c r="I62" s="42">
        <f t="shared" ref="I62" si="85">17697*G62</f>
        <v>58754.039999999994</v>
      </c>
      <c r="J62" s="42">
        <f t="shared" ref="J62" si="86">I62*0.25</f>
        <v>14688.509999999998</v>
      </c>
      <c r="K62" s="42">
        <f t="shared" ref="K62" si="87">(I62+J62)*1</f>
        <v>73442.549999999988</v>
      </c>
      <c r="L62" s="42">
        <f t="shared" ref="L62" si="88">(I62+J62)*2</f>
        <v>146885.09999999998</v>
      </c>
      <c r="M62" s="129">
        <v>4</v>
      </c>
      <c r="N62" s="129"/>
      <c r="O62" s="129">
        <v>3</v>
      </c>
      <c r="P62" s="129"/>
      <c r="Q62" s="129"/>
      <c r="R62" s="40">
        <f t="shared" ref="R62" si="89">SUM(M62:Q62)</f>
        <v>7</v>
      </c>
      <c r="S62" s="34">
        <f t="shared" ref="S62" si="90">M62/16*L62</f>
        <v>36721.274999999994</v>
      </c>
      <c r="T62" s="34">
        <f t="shared" ref="T62" si="91">N62/16*L62</f>
        <v>0</v>
      </c>
      <c r="U62" s="34">
        <f t="shared" ref="U62" si="92">O62/16*L62</f>
        <v>27540.956249999996</v>
      </c>
      <c r="V62" s="34">
        <f t="shared" ref="V62" si="93">P62/16*L62</f>
        <v>0</v>
      </c>
      <c r="W62" s="34">
        <f t="shared" ref="W62" si="94">Q62/16*L62</f>
        <v>0</v>
      </c>
      <c r="X62" s="34">
        <f t="shared" ref="X62" si="95">SUM(S62:W62)</f>
        <v>64262.23124999999</v>
      </c>
      <c r="Y62" s="35">
        <f t="shared" ref="Y62" si="96">X62*0.1</f>
        <v>6426.2231249999995</v>
      </c>
      <c r="Z62" s="26"/>
      <c r="AA62" s="26"/>
      <c r="AB62" s="26">
        <f t="shared" ref="AB62" si="97">SUM(R62)</f>
        <v>7</v>
      </c>
      <c r="AC62" s="42">
        <f t="shared" ref="AC62" si="98">L62*0.3/16*AB62</f>
        <v>19278.669374999998</v>
      </c>
      <c r="AD62" s="42">
        <f t="shared" ref="AD62" si="99">SUM(R62)</f>
        <v>7</v>
      </c>
      <c r="AE62" s="39"/>
      <c r="AF62" s="42">
        <f t="shared" ref="AF62" si="100">(L62*AE62/100)/16*AD62</f>
        <v>0</v>
      </c>
      <c r="AG62" s="43"/>
      <c r="AH62" s="131"/>
      <c r="AI62" s="135">
        <v>8.5</v>
      </c>
      <c r="AJ62" s="36"/>
      <c r="AK62" s="36">
        <f t="shared" ref="AK62" si="101">SUM(17697/16*0.5*AI62)</f>
        <v>4700.765625</v>
      </c>
      <c r="AL62" s="133"/>
      <c r="AM62" s="133"/>
      <c r="AN62" s="26"/>
      <c r="AO62" s="26"/>
      <c r="AP62" s="33"/>
      <c r="AQ62" s="33"/>
      <c r="AR62" s="26"/>
      <c r="AS62" s="26"/>
      <c r="AT62" s="209"/>
      <c r="AU62" s="217"/>
      <c r="AV62" s="36">
        <f>SUM($I$35*AU62)</f>
        <v>0</v>
      </c>
      <c r="AW62" s="213"/>
      <c r="AX62" s="37">
        <f t="shared" si="25"/>
        <v>94667.889374999984</v>
      </c>
    </row>
    <row r="63" spans="1:50" s="24" customFormat="1" ht="34.5" x14ac:dyDescent="0.2">
      <c r="A63" s="16">
        <v>16</v>
      </c>
      <c r="B63" s="201" t="s">
        <v>113</v>
      </c>
      <c r="C63" s="116" t="s">
        <v>19</v>
      </c>
      <c r="D63" s="116" t="s">
        <v>81</v>
      </c>
      <c r="E63" s="28" t="s">
        <v>21</v>
      </c>
      <c r="F63" s="30" t="s">
        <v>26</v>
      </c>
      <c r="G63" s="124">
        <v>4.2699999999999996</v>
      </c>
      <c r="H63" s="126">
        <v>6.1</v>
      </c>
      <c r="I63" s="42">
        <f t="shared" si="14"/>
        <v>75566.189999999988</v>
      </c>
      <c r="J63" s="42">
        <f t="shared" si="15"/>
        <v>18891.547499999997</v>
      </c>
      <c r="K63" s="42">
        <f t="shared" si="16"/>
        <v>94457.737499999988</v>
      </c>
      <c r="L63" s="42">
        <f t="shared" si="17"/>
        <v>188915.47499999998</v>
      </c>
      <c r="M63" s="129">
        <v>3</v>
      </c>
      <c r="N63" s="129"/>
      <c r="O63" s="129">
        <v>15</v>
      </c>
      <c r="P63" s="129"/>
      <c r="Q63" s="129">
        <v>6</v>
      </c>
      <c r="R63" s="40">
        <f t="shared" si="18"/>
        <v>24</v>
      </c>
      <c r="S63" s="34">
        <f t="shared" si="65"/>
        <v>35421.651562499996</v>
      </c>
      <c r="T63" s="34">
        <f t="shared" si="6"/>
        <v>0</v>
      </c>
      <c r="U63" s="34">
        <f t="shared" si="7"/>
        <v>177108.25781249997</v>
      </c>
      <c r="V63" s="34">
        <f t="shared" si="8"/>
        <v>0</v>
      </c>
      <c r="W63" s="34">
        <f t="shared" si="19"/>
        <v>70843.303124999991</v>
      </c>
      <c r="X63" s="34">
        <f t="shared" si="20"/>
        <v>283373.21249999997</v>
      </c>
      <c r="Y63" s="35">
        <f t="shared" si="21"/>
        <v>28337.321249999997</v>
      </c>
      <c r="Z63" s="26">
        <f t="shared" si="22"/>
        <v>0</v>
      </c>
      <c r="AA63" s="26">
        <f>SUM(($I$35/16)*Z63)*0.4</f>
        <v>0</v>
      </c>
      <c r="AB63" s="26">
        <f t="shared" si="10"/>
        <v>24</v>
      </c>
      <c r="AC63" s="42">
        <f t="shared" si="11"/>
        <v>85011.963749999995</v>
      </c>
      <c r="AD63" s="42">
        <f t="shared" si="12"/>
        <v>24</v>
      </c>
      <c r="AE63" s="39">
        <v>30</v>
      </c>
      <c r="AF63" s="42">
        <f t="shared" si="42"/>
        <v>85011.963749999981</v>
      </c>
      <c r="AG63" s="43"/>
      <c r="AH63" s="131"/>
      <c r="AI63" s="135"/>
      <c r="AJ63" s="36">
        <f t="shared" si="23"/>
        <v>0</v>
      </c>
      <c r="AK63" s="36">
        <f t="shared" si="24"/>
        <v>0</v>
      </c>
      <c r="AL63" s="133"/>
      <c r="AM63" s="133">
        <v>0.5</v>
      </c>
      <c r="AN63" s="26">
        <f>SUM($I$35*AL63)*0.5</f>
        <v>0</v>
      </c>
      <c r="AO63" s="26">
        <f>SUM($I$35*AM63)*0.6</f>
        <v>5309.0999999999995</v>
      </c>
      <c r="AP63" s="33"/>
      <c r="AQ63" s="33"/>
      <c r="AR63" s="26">
        <f>SUM($I$35*AQ63)</f>
        <v>0</v>
      </c>
      <c r="AS63" s="26">
        <v>1</v>
      </c>
      <c r="AT63" s="209">
        <f>SUM($I$35*AS63)</f>
        <v>17697</v>
      </c>
      <c r="AU63" s="217"/>
      <c r="AV63" s="36">
        <f>SUM($I$35*AU63)</f>
        <v>0</v>
      </c>
      <c r="AW63" s="213"/>
      <c r="AX63" s="37">
        <f t="shared" si="25"/>
        <v>504740.56124999991</v>
      </c>
    </row>
    <row r="64" spans="1:50" s="24" customFormat="1" ht="34.5" x14ac:dyDescent="0.2">
      <c r="A64" s="225">
        <v>17</v>
      </c>
      <c r="B64" s="201" t="s">
        <v>255</v>
      </c>
      <c r="C64" s="116" t="s">
        <v>256</v>
      </c>
      <c r="D64" s="116" t="s">
        <v>10</v>
      </c>
      <c r="E64" s="28" t="s">
        <v>177</v>
      </c>
      <c r="F64" s="30" t="s">
        <v>26</v>
      </c>
      <c r="G64" s="124">
        <v>4.7300000000000004</v>
      </c>
      <c r="H64" s="126">
        <v>29</v>
      </c>
      <c r="I64" s="42">
        <f t="shared" si="14"/>
        <v>83706.810000000012</v>
      </c>
      <c r="J64" s="42">
        <f t="shared" si="15"/>
        <v>20926.702500000003</v>
      </c>
      <c r="K64" s="42">
        <f t="shared" si="16"/>
        <v>104633.51250000001</v>
      </c>
      <c r="L64" s="42">
        <f t="shared" si="17"/>
        <v>209267.02500000002</v>
      </c>
      <c r="M64" s="129"/>
      <c r="N64" s="129"/>
      <c r="O64" s="129">
        <v>11</v>
      </c>
      <c r="P64" s="129"/>
      <c r="Q64" s="129"/>
      <c r="R64" s="40">
        <f t="shared" si="18"/>
        <v>11</v>
      </c>
      <c r="S64" s="34"/>
      <c r="T64" s="34">
        <f t="shared" si="6"/>
        <v>0</v>
      </c>
      <c r="U64" s="34">
        <f t="shared" si="7"/>
        <v>143871.07968750002</v>
      </c>
      <c r="V64" s="34">
        <f t="shared" si="8"/>
        <v>0</v>
      </c>
      <c r="W64" s="34">
        <f t="shared" si="19"/>
        <v>0</v>
      </c>
      <c r="X64" s="34">
        <f t="shared" ref="X64" si="102">SUM(S64:W64)</f>
        <v>143871.07968750002</v>
      </c>
      <c r="Y64" s="35">
        <f t="shared" ref="Y64" si="103">X64*0.1</f>
        <v>14387.107968750002</v>
      </c>
      <c r="Z64" s="26"/>
      <c r="AA64" s="26"/>
      <c r="AB64" s="26">
        <f t="shared" ref="AB64" si="104">SUM(R64)</f>
        <v>11</v>
      </c>
      <c r="AC64" s="42">
        <f t="shared" ref="AC64" si="105">L64*0.3/16*AB64</f>
        <v>43161.323906250007</v>
      </c>
      <c r="AD64" s="42">
        <f t="shared" ref="AD64" si="106">SUM(R64)</f>
        <v>11</v>
      </c>
      <c r="AE64" s="39"/>
      <c r="AF64" s="42"/>
      <c r="AG64" s="43"/>
      <c r="AH64" s="131"/>
      <c r="AI64" s="135"/>
      <c r="AJ64" s="36"/>
      <c r="AK64" s="36"/>
      <c r="AL64" s="133"/>
      <c r="AM64" s="133"/>
      <c r="AN64" s="26"/>
      <c r="AO64" s="26"/>
      <c r="AP64" s="33"/>
      <c r="AQ64" s="33"/>
      <c r="AR64" s="26"/>
      <c r="AS64" s="26"/>
      <c r="AT64" s="209"/>
      <c r="AU64" s="217"/>
      <c r="AV64" s="36"/>
      <c r="AW64" s="213"/>
      <c r="AX64" s="37">
        <f t="shared" si="25"/>
        <v>201419.51156250003</v>
      </c>
    </row>
    <row r="65" spans="1:50" s="24" customFormat="1" ht="34.5" x14ac:dyDescent="0.2">
      <c r="A65" s="191">
        <v>18</v>
      </c>
      <c r="B65" s="28" t="s">
        <v>95</v>
      </c>
      <c r="C65" s="120" t="s">
        <v>114</v>
      </c>
      <c r="D65" s="120" t="s">
        <v>81</v>
      </c>
      <c r="E65" s="28" t="s">
        <v>178</v>
      </c>
      <c r="F65" s="30" t="s">
        <v>26</v>
      </c>
      <c r="G65" s="124">
        <v>4.67</v>
      </c>
      <c r="H65" s="127">
        <v>23.03</v>
      </c>
      <c r="I65" s="42">
        <f t="shared" si="14"/>
        <v>82644.990000000005</v>
      </c>
      <c r="J65" s="42">
        <f t="shared" si="15"/>
        <v>20661.247500000001</v>
      </c>
      <c r="K65" s="42">
        <f t="shared" si="16"/>
        <v>103306.2375</v>
      </c>
      <c r="L65" s="42">
        <f t="shared" si="17"/>
        <v>206612.47500000001</v>
      </c>
      <c r="M65" s="129"/>
      <c r="N65" s="129"/>
      <c r="O65" s="129">
        <v>18</v>
      </c>
      <c r="P65" s="129">
        <v>2</v>
      </c>
      <c r="Q65" s="129">
        <v>2</v>
      </c>
      <c r="R65" s="40">
        <f t="shared" si="18"/>
        <v>22</v>
      </c>
      <c r="S65" s="34">
        <f t="shared" si="65"/>
        <v>0</v>
      </c>
      <c r="T65" s="34">
        <f t="shared" si="6"/>
        <v>0</v>
      </c>
      <c r="U65" s="34">
        <f t="shared" si="7"/>
        <v>232439.03437500002</v>
      </c>
      <c r="V65" s="34">
        <f t="shared" si="8"/>
        <v>25826.559375000001</v>
      </c>
      <c r="W65" s="34">
        <f t="shared" si="19"/>
        <v>25826.559375000001</v>
      </c>
      <c r="X65" s="34">
        <f t="shared" si="20"/>
        <v>284092.15312500001</v>
      </c>
      <c r="Y65" s="35">
        <f t="shared" si="21"/>
        <v>28409.215312500004</v>
      </c>
      <c r="Z65" s="26">
        <f t="shared" si="22"/>
        <v>2</v>
      </c>
      <c r="AA65" s="26">
        <f>SUM(($I$35/16)*Z65)*0.4</f>
        <v>884.85</v>
      </c>
      <c r="AB65" s="26">
        <f t="shared" si="10"/>
        <v>22</v>
      </c>
      <c r="AC65" s="42">
        <f t="shared" si="11"/>
        <v>85227.645937499998</v>
      </c>
      <c r="AD65" s="42">
        <f t="shared" si="12"/>
        <v>22</v>
      </c>
      <c r="AE65" s="39">
        <v>30</v>
      </c>
      <c r="AF65" s="42">
        <f t="shared" si="42"/>
        <v>85227.645937499998</v>
      </c>
      <c r="AG65" s="43"/>
      <c r="AH65" s="131"/>
      <c r="AI65" s="135">
        <v>10</v>
      </c>
      <c r="AJ65" s="36">
        <f t="shared" si="23"/>
        <v>0</v>
      </c>
      <c r="AK65" s="36">
        <f t="shared" si="24"/>
        <v>5530.3125</v>
      </c>
      <c r="AL65" s="133"/>
      <c r="AM65" s="133">
        <v>1</v>
      </c>
      <c r="AN65" s="26">
        <f>SUM($I$35*AL65)*0.5</f>
        <v>0</v>
      </c>
      <c r="AO65" s="26">
        <f>SUM($I$35*AM65)*0.6</f>
        <v>10618.199999999999</v>
      </c>
      <c r="AP65" s="33"/>
      <c r="AQ65" s="33"/>
      <c r="AR65" s="26">
        <f>SUM($I$35*AQ65)</f>
        <v>0</v>
      </c>
      <c r="AS65" s="26"/>
      <c r="AT65" s="209">
        <f>SUM($I$35*AS65)</f>
        <v>0</v>
      </c>
      <c r="AU65" s="217"/>
      <c r="AV65" s="36">
        <f>SUM($I$35*AU65)</f>
        <v>0</v>
      </c>
      <c r="AW65" s="213"/>
      <c r="AX65" s="37">
        <f t="shared" si="25"/>
        <v>499990.02281250001</v>
      </c>
    </row>
    <row r="66" spans="1:50" s="24" customFormat="1" ht="34.5" x14ac:dyDescent="0.2">
      <c r="A66" s="191">
        <v>19</v>
      </c>
      <c r="B66" s="28" t="s">
        <v>257</v>
      </c>
      <c r="C66" s="120" t="s">
        <v>114</v>
      </c>
      <c r="D66" s="120" t="s">
        <v>81</v>
      </c>
      <c r="E66" s="28" t="s">
        <v>109</v>
      </c>
      <c r="F66" s="30" t="s">
        <v>26</v>
      </c>
      <c r="G66" s="124">
        <v>4.67</v>
      </c>
      <c r="H66" s="127">
        <v>20</v>
      </c>
      <c r="I66" s="42">
        <f t="shared" si="14"/>
        <v>82644.990000000005</v>
      </c>
      <c r="J66" s="42">
        <f t="shared" si="15"/>
        <v>20661.247500000001</v>
      </c>
      <c r="K66" s="42">
        <f t="shared" si="16"/>
        <v>103306.2375</v>
      </c>
      <c r="L66" s="42">
        <f t="shared" si="17"/>
        <v>206612.47500000001</v>
      </c>
      <c r="M66" s="129"/>
      <c r="N66" s="129"/>
      <c r="O66" s="129">
        <v>2</v>
      </c>
      <c r="P66" s="129"/>
      <c r="Q66" s="129">
        <v>5</v>
      </c>
      <c r="R66" s="40">
        <f t="shared" si="18"/>
        <v>7</v>
      </c>
      <c r="S66" s="34">
        <f t="shared" si="65"/>
        <v>0</v>
      </c>
      <c r="T66" s="34">
        <f t="shared" si="6"/>
        <v>0</v>
      </c>
      <c r="U66" s="34">
        <f t="shared" si="7"/>
        <v>25826.559375000001</v>
      </c>
      <c r="V66" s="34">
        <f t="shared" si="8"/>
        <v>0</v>
      </c>
      <c r="W66" s="34"/>
      <c r="X66" s="34">
        <f t="shared" si="20"/>
        <v>25826.559375000001</v>
      </c>
      <c r="Y66" s="35">
        <f t="shared" si="21"/>
        <v>2582.6559375000002</v>
      </c>
      <c r="Z66" s="26"/>
      <c r="AA66" s="26"/>
      <c r="AB66" s="26">
        <f t="shared" ref="AB66" si="107">SUM(R66)</f>
        <v>7</v>
      </c>
      <c r="AC66" s="42">
        <f t="shared" ref="AC66" si="108">L66*0.3/16*AB66</f>
        <v>27117.887343750001</v>
      </c>
      <c r="AD66" s="42">
        <f t="shared" ref="AD66" si="109">SUM(R66)</f>
        <v>7</v>
      </c>
      <c r="AE66" s="39">
        <v>35</v>
      </c>
      <c r="AF66" s="42">
        <f t="shared" si="42"/>
        <v>31637.535234375002</v>
      </c>
      <c r="AG66" s="43"/>
      <c r="AH66" s="131"/>
      <c r="AI66" s="135">
        <v>3.5</v>
      </c>
      <c r="AJ66" s="36"/>
      <c r="AK66" s="36">
        <f t="shared" si="24"/>
        <v>1935.609375</v>
      </c>
      <c r="AL66" s="133"/>
      <c r="AM66" s="133"/>
      <c r="AN66" s="26"/>
      <c r="AO66" s="26"/>
      <c r="AP66" s="33"/>
      <c r="AQ66" s="33"/>
      <c r="AR66" s="26"/>
      <c r="AS66" s="26"/>
      <c r="AT66" s="209"/>
      <c r="AU66" s="217"/>
      <c r="AV66" s="36"/>
      <c r="AW66" s="213"/>
      <c r="AX66" s="37">
        <f t="shared" si="25"/>
        <v>89100.247265625003</v>
      </c>
    </row>
    <row r="67" spans="1:50" s="24" customFormat="1" ht="34.5" x14ac:dyDescent="0.2">
      <c r="A67" s="16">
        <v>20</v>
      </c>
      <c r="B67" s="118" t="s">
        <v>270</v>
      </c>
      <c r="C67" s="116" t="s">
        <v>100</v>
      </c>
      <c r="D67" s="116" t="s">
        <v>81</v>
      </c>
      <c r="E67" s="28" t="s">
        <v>109</v>
      </c>
      <c r="F67" s="30" t="s">
        <v>26</v>
      </c>
      <c r="G67" s="125">
        <v>4.7300000000000004</v>
      </c>
      <c r="H67" s="116">
        <v>24.08</v>
      </c>
      <c r="I67" s="42">
        <f t="shared" si="14"/>
        <v>83706.810000000012</v>
      </c>
      <c r="J67" s="42">
        <f t="shared" si="15"/>
        <v>20926.702500000003</v>
      </c>
      <c r="K67" s="42">
        <f t="shared" si="16"/>
        <v>104633.51250000001</v>
      </c>
      <c r="L67" s="42">
        <f t="shared" si="17"/>
        <v>209267.02500000002</v>
      </c>
      <c r="M67" s="129">
        <v>3</v>
      </c>
      <c r="N67" s="129"/>
      <c r="O67" s="129">
        <v>4</v>
      </c>
      <c r="P67" s="129"/>
      <c r="Q67" s="129"/>
      <c r="R67" s="40">
        <f t="shared" si="18"/>
        <v>7</v>
      </c>
      <c r="S67" s="34">
        <f t="shared" si="65"/>
        <v>39237.567187500004</v>
      </c>
      <c r="T67" s="34">
        <f t="shared" si="6"/>
        <v>0</v>
      </c>
      <c r="U67" s="34">
        <f t="shared" si="7"/>
        <v>52316.756250000006</v>
      </c>
      <c r="V67" s="34">
        <f t="shared" si="8"/>
        <v>0</v>
      </c>
      <c r="W67" s="34">
        <f t="shared" ref="W67:W88" si="110">Q67/16*L67</f>
        <v>0</v>
      </c>
      <c r="X67" s="34">
        <f t="shared" si="20"/>
        <v>91554.323437500017</v>
      </c>
      <c r="Y67" s="35">
        <f t="shared" si="21"/>
        <v>9155.4323437500025</v>
      </c>
      <c r="Z67" s="26">
        <v>0</v>
      </c>
      <c r="AA67" s="26">
        <f t="shared" ref="AA67:AA74" si="111">SUM(($I$35/16)*Z67)*0.4</f>
        <v>0</v>
      </c>
      <c r="AB67" s="26">
        <f t="shared" si="10"/>
        <v>7</v>
      </c>
      <c r="AC67" s="42">
        <f t="shared" si="11"/>
        <v>27466.297031250004</v>
      </c>
      <c r="AD67" s="42">
        <f t="shared" si="12"/>
        <v>7</v>
      </c>
      <c r="AE67" s="39">
        <v>35</v>
      </c>
      <c r="AF67" s="42">
        <f t="shared" si="42"/>
        <v>32044.013203125003</v>
      </c>
      <c r="AG67" s="43"/>
      <c r="AH67" s="131"/>
      <c r="AI67" s="135"/>
      <c r="AJ67" s="36">
        <f t="shared" si="23"/>
        <v>0</v>
      </c>
      <c r="AK67" s="36">
        <f t="shared" si="24"/>
        <v>0</v>
      </c>
      <c r="AL67" s="133"/>
      <c r="AM67" s="133"/>
      <c r="AN67" s="26">
        <f>SUM($I$35*AL67)*0.5</f>
        <v>0</v>
      </c>
      <c r="AO67" s="26">
        <f>SUM($I$35*AM67)*0.6</f>
        <v>0</v>
      </c>
      <c r="AP67" s="33"/>
      <c r="AQ67" s="33"/>
      <c r="AR67" s="26">
        <f>SUM($I$35*AQ67)</f>
        <v>0</v>
      </c>
      <c r="AS67" s="26"/>
      <c r="AT67" s="209">
        <f>SUM($I$35*AS67)</f>
        <v>0</v>
      </c>
      <c r="AU67" s="217"/>
      <c r="AV67" s="36">
        <f>SUM($I$35*AU67)</f>
        <v>0</v>
      </c>
      <c r="AW67" s="213"/>
      <c r="AX67" s="37">
        <f t="shared" si="25"/>
        <v>160220.06601562502</v>
      </c>
    </row>
    <row r="68" spans="1:50" s="17" customFormat="1" ht="39" customHeight="1" x14ac:dyDescent="0.2">
      <c r="A68" s="191">
        <v>21</v>
      </c>
      <c r="B68" s="203" t="s">
        <v>193</v>
      </c>
      <c r="C68" s="116" t="s">
        <v>74</v>
      </c>
      <c r="D68" s="116" t="s">
        <v>96</v>
      </c>
      <c r="E68" s="28" t="s">
        <v>21</v>
      </c>
      <c r="F68" s="31" t="s">
        <v>26</v>
      </c>
      <c r="G68" s="124">
        <v>4.2300000000000004</v>
      </c>
      <c r="H68" s="116" t="s">
        <v>272</v>
      </c>
      <c r="I68" s="42">
        <f t="shared" si="14"/>
        <v>74858.310000000012</v>
      </c>
      <c r="J68" s="42">
        <f t="shared" si="15"/>
        <v>18714.577500000003</v>
      </c>
      <c r="K68" s="42">
        <f t="shared" si="16"/>
        <v>93572.887500000012</v>
      </c>
      <c r="L68" s="42">
        <f t="shared" si="17"/>
        <v>187145.77500000002</v>
      </c>
      <c r="M68" s="129"/>
      <c r="N68" s="129"/>
      <c r="O68" s="129">
        <v>11</v>
      </c>
      <c r="P68" s="129">
        <v>1</v>
      </c>
      <c r="Q68" s="129">
        <v>5</v>
      </c>
      <c r="R68" s="40">
        <f t="shared" si="18"/>
        <v>17</v>
      </c>
      <c r="S68" s="34">
        <f t="shared" si="65"/>
        <v>0</v>
      </c>
      <c r="T68" s="34">
        <f t="shared" si="6"/>
        <v>0</v>
      </c>
      <c r="U68" s="34">
        <f t="shared" si="7"/>
        <v>128662.72031250002</v>
      </c>
      <c r="V68" s="34">
        <f t="shared" si="8"/>
        <v>11696.610937500001</v>
      </c>
      <c r="W68" s="34">
        <f t="shared" si="110"/>
        <v>58483.054687500007</v>
      </c>
      <c r="X68" s="34">
        <f t="shared" si="20"/>
        <v>198842.38593750002</v>
      </c>
      <c r="Y68" s="35">
        <f t="shared" si="21"/>
        <v>19884.238593750004</v>
      </c>
      <c r="Z68" s="26">
        <f t="shared" ref="Z68:Z77" si="112">SUM(N68+P68)</f>
        <v>1</v>
      </c>
      <c r="AA68" s="26">
        <f t="shared" si="111"/>
        <v>442.42500000000001</v>
      </c>
      <c r="AB68" s="26">
        <f t="shared" si="10"/>
        <v>17</v>
      </c>
      <c r="AC68" s="42">
        <f t="shared" si="11"/>
        <v>59652.715781250008</v>
      </c>
      <c r="AD68" s="42">
        <f t="shared" si="12"/>
        <v>17</v>
      </c>
      <c r="AE68" s="34"/>
      <c r="AF68" s="42">
        <f t="shared" si="42"/>
        <v>0</v>
      </c>
      <c r="AG68" s="48"/>
      <c r="AH68" s="132">
        <v>8</v>
      </c>
      <c r="AI68" s="133"/>
      <c r="AJ68" s="36">
        <f t="shared" si="23"/>
        <v>3539.4</v>
      </c>
      <c r="AK68" s="36">
        <f t="shared" si="24"/>
        <v>0</v>
      </c>
      <c r="AL68" s="133"/>
      <c r="AM68" s="133"/>
      <c r="AN68" s="26">
        <f>SUM($I$35*AL68)*0.5</f>
        <v>0</v>
      </c>
      <c r="AO68" s="26">
        <f>SUM($I$35*AM68)*0.6</f>
        <v>0</v>
      </c>
      <c r="AP68" s="26"/>
      <c r="AQ68" s="26"/>
      <c r="AR68" s="26">
        <f>SUM($I$35*AQ68)</f>
        <v>0</v>
      </c>
      <c r="AS68" s="26"/>
      <c r="AT68" s="209">
        <f>SUM($I$35*AS68)</f>
        <v>0</v>
      </c>
      <c r="AU68" s="215"/>
      <c r="AV68" s="36">
        <f>SUM($I$35*AU68)</f>
        <v>0</v>
      </c>
      <c r="AW68" s="211"/>
      <c r="AX68" s="37">
        <f t="shared" si="25"/>
        <v>282361.16531250003</v>
      </c>
    </row>
    <row r="69" spans="1:50" s="17" customFormat="1" ht="39" customHeight="1" x14ac:dyDescent="0.2">
      <c r="A69" s="191"/>
      <c r="B69" s="203" t="s">
        <v>185</v>
      </c>
      <c r="C69" s="116" t="s">
        <v>258</v>
      </c>
      <c r="D69" s="116" t="s">
        <v>96</v>
      </c>
      <c r="E69" s="28" t="s">
        <v>21</v>
      </c>
      <c r="F69" s="31" t="s">
        <v>26</v>
      </c>
      <c r="G69" s="124">
        <v>4.2300000000000004</v>
      </c>
      <c r="H69" s="116">
        <v>5.08</v>
      </c>
      <c r="I69" s="42">
        <f t="shared" si="14"/>
        <v>74858.310000000012</v>
      </c>
      <c r="J69" s="42">
        <f t="shared" si="15"/>
        <v>18714.577500000003</v>
      </c>
      <c r="K69" s="42">
        <f t="shared" si="16"/>
        <v>93572.887500000012</v>
      </c>
      <c r="L69" s="42">
        <f t="shared" si="17"/>
        <v>187145.77500000002</v>
      </c>
      <c r="M69" s="129"/>
      <c r="N69" s="129"/>
      <c r="O69" s="129"/>
      <c r="P69" s="129"/>
      <c r="Q69" s="129">
        <v>2</v>
      </c>
      <c r="R69" s="40">
        <f t="shared" si="18"/>
        <v>2</v>
      </c>
      <c r="S69" s="34">
        <f t="shared" si="65"/>
        <v>0</v>
      </c>
      <c r="T69" s="34">
        <f t="shared" si="6"/>
        <v>0</v>
      </c>
      <c r="U69" s="34">
        <f t="shared" si="7"/>
        <v>0</v>
      </c>
      <c r="V69" s="34">
        <f t="shared" si="8"/>
        <v>0</v>
      </c>
      <c r="W69" s="34">
        <f t="shared" si="110"/>
        <v>23393.221875000003</v>
      </c>
      <c r="X69" s="34">
        <f t="shared" ref="X69" si="113">SUM(S69:W69)</f>
        <v>23393.221875000003</v>
      </c>
      <c r="Y69" s="35">
        <f t="shared" ref="Y69" si="114">X69*0.1</f>
        <v>2339.3221875000004</v>
      </c>
      <c r="Z69" s="26"/>
      <c r="AA69" s="26"/>
      <c r="AB69" s="26"/>
      <c r="AC69" s="42"/>
      <c r="AD69" s="42"/>
      <c r="AE69" s="34"/>
      <c r="AF69" s="42"/>
      <c r="AG69" s="48"/>
      <c r="AH69" s="132"/>
      <c r="AI69" s="133"/>
      <c r="AJ69" s="36"/>
      <c r="AK69" s="36"/>
      <c r="AL69" s="133"/>
      <c r="AM69" s="133"/>
      <c r="AN69" s="26"/>
      <c r="AO69" s="26"/>
      <c r="AP69" s="26"/>
      <c r="AQ69" s="26"/>
      <c r="AR69" s="26"/>
      <c r="AS69" s="26"/>
      <c r="AT69" s="209"/>
      <c r="AU69" s="215"/>
      <c r="AV69" s="36"/>
      <c r="AW69" s="211"/>
      <c r="AX69" s="37">
        <f t="shared" si="25"/>
        <v>25732.544062500005</v>
      </c>
    </row>
    <row r="70" spans="1:50" s="24" customFormat="1" ht="34.5" x14ac:dyDescent="0.2">
      <c r="A70" s="16">
        <v>22</v>
      </c>
      <c r="B70" s="203" t="s">
        <v>259</v>
      </c>
      <c r="C70" s="116" t="s">
        <v>22</v>
      </c>
      <c r="D70" s="116" t="s">
        <v>81</v>
      </c>
      <c r="E70" s="28" t="s">
        <v>115</v>
      </c>
      <c r="F70" s="30" t="s">
        <v>26</v>
      </c>
      <c r="G70" s="124">
        <v>4.49</v>
      </c>
      <c r="H70" s="116">
        <v>14</v>
      </c>
      <c r="I70" s="42">
        <f t="shared" si="14"/>
        <v>79459.53</v>
      </c>
      <c r="J70" s="42">
        <f t="shared" si="15"/>
        <v>19864.8825</v>
      </c>
      <c r="K70" s="42">
        <f t="shared" si="16"/>
        <v>99324.412500000006</v>
      </c>
      <c r="L70" s="42">
        <f t="shared" si="17"/>
        <v>198648.82500000001</v>
      </c>
      <c r="M70" s="129"/>
      <c r="N70" s="129"/>
      <c r="O70" s="129">
        <v>16</v>
      </c>
      <c r="P70" s="129">
        <v>2</v>
      </c>
      <c r="Q70" s="129">
        <v>8</v>
      </c>
      <c r="R70" s="40">
        <f t="shared" si="18"/>
        <v>26</v>
      </c>
      <c r="S70" s="34">
        <f t="shared" si="65"/>
        <v>0</v>
      </c>
      <c r="T70" s="34">
        <f t="shared" si="6"/>
        <v>0</v>
      </c>
      <c r="U70" s="34">
        <f t="shared" si="7"/>
        <v>198648.82500000001</v>
      </c>
      <c r="V70" s="34">
        <f t="shared" si="8"/>
        <v>24831.103125000001</v>
      </c>
      <c r="W70" s="34">
        <f t="shared" si="110"/>
        <v>99324.412500000006</v>
      </c>
      <c r="X70" s="34">
        <f t="shared" si="20"/>
        <v>322804.34062500001</v>
      </c>
      <c r="Y70" s="35">
        <f t="shared" si="21"/>
        <v>32280.434062500004</v>
      </c>
      <c r="Z70" s="26">
        <f t="shared" si="112"/>
        <v>2</v>
      </c>
      <c r="AA70" s="26">
        <f t="shared" si="111"/>
        <v>884.85</v>
      </c>
      <c r="AB70" s="26">
        <f t="shared" si="10"/>
        <v>26</v>
      </c>
      <c r="AC70" s="42">
        <f t="shared" si="11"/>
        <v>96841.302187499998</v>
      </c>
      <c r="AD70" s="42">
        <f t="shared" si="12"/>
        <v>26</v>
      </c>
      <c r="AE70" s="39">
        <v>30</v>
      </c>
      <c r="AF70" s="42">
        <f t="shared" si="42"/>
        <v>96841.302187499998</v>
      </c>
      <c r="AG70" s="43"/>
      <c r="AH70" s="131"/>
      <c r="AI70" s="135"/>
      <c r="AJ70" s="36">
        <f t="shared" si="23"/>
        <v>0</v>
      </c>
      <c r="AK70" s="36">
        <f t="shared" si="24"/>
        <v>0</v>
      </c>
      <c r="AL70" s="133"/>
      <c r="AM70" s="133"/>
      <c r="AN70" s="26">
        <f>SUM($I$35*AL70)*0.5</f>
        <v>0</v>
      </c>
      <c r="AO70" s="26">
        <f>SUM($I$35*AM70)*0.6</f>
        <v>0</v>
      </c>
      <c r="AP70" s="33"/>
      <c r="AQ70" s="33"/>
      <c r="AR70" s="26">
        <f>SUM($I$35*AQ70)</f>
        <v>0</v>
      </c>
      <c r="AS70" s="26"/>
      <c r="AT70" s="209">
        <f>SUM($I$35*AS70)</f>
        <v>0</v>
      </c>
      <c r="AU70" s="217"/>
      <c r="AV70" s="36">
        <f>SUM($I$35*AU70)</f>
        <v>0</v>
      </c>
      <c r="AW70" s="213"/>
      <c r="AX70" s="37">
        <f t="shared" si="25"/>
        <v>549652.22906249994</v>
      </c>
    </row>
    <row r="71" spans="1:50" s="24" customFormat="1" ht="34.5" x14ac:dyDescent="0.2">
      <c r="A71" s="16"/>
      <c r="B71" s="203" t="s">
        <v>185</v>
      </c>
      <c r="C71" s="116" t="s">
        <v>260</v>
      </c>
      <c r="D71" s="116" t="s">
        <v>81</v>
      </c>
      <c r="E71" s="28" t="s">
        <v>115</v>
      </c>
      <c r="F71" s="30" t="s">
        <v>26</v>
      </c>
      <c r="G71" s="124">
        <v>4.49</v>
      </c>
      <c r="H71" s="116">
        <v>14</v>
      </c>
      <c r="I71" s="42">
        <f t="shared" si="14"/>
        <v>79459.53</v>
      </c>
      <c r="J71" s="42">
        <f t="shared" si="15"/>
        <v>19864.8825</v>
      </c>
      <c r="K71" s="42">
        <f t="shared" si="16"/>
        <v>99324.412500000006</v>
      </c>
      <c r="L71" s="42">
        <f t="shared" si="17"/>
        <v>198648.82500000001</v>
      </c>
      <c r="M71" s="129"/>
      <c r="N71" s="129"/>
      <c r="O71" s="129">
        <v>1</v>
      </c>
      <c r="P71" s="129"/>
      <c r="Q71" s="129"/>
      <c r="R71" s="40">
        <f t="shared" si="18"/>
        <v>1</v>
      </c>
      <c r="S71" s="34">
        <f t="shared" si="65"/>
        <v>0</v>
      </c>
      <c r="T71" s="34">
        <f t="shared" si="6"/>
        <v>0</v>
      </c>
      <c r="U71" s="34">
        <f t="shared" si="7"/>
        <v>12415.551562500001</v>
      </c>
      <c r="V71" s="34">
        <f t="shared" si="8"/>
        <v>0</v>
      </c>
      <c r="W71" s="34">
        <f t="shared" si="110"/>
        <v>0</v>
      </c>
      <c r="X71" s="34">
        <f t="shared" si="20"/>
        <v>12415.551562500001</v>
      </c>
      <c r="Y71" s="35">
        <f t="shared" si="21"/>
        <v>1241.5551562500002</v>
      </c>
      <c r="Z71" s="26"/>
      <c r="AA71" s="26"/>
      <c r="AB71" s="26"/>
      <c r="AC71" s="42"/>
      <c r="AD71" s="42">
        <f t="shared" si="12"/>
        <v>1</v>
      </c>
      <c r="AE71" s="39">
        <v>30</v>
      </c>
      <c r="AF71" s="42">
        <f t="shared" si="42"/>
        <v>3724.6654687499999</v>
      </c>
      <c r="AG71" s="43"/>
      <c r="AH71" s="131"/>
      <c r="AI71" s="135"/>
      <c r="AJ71" s="36"/>
      <c r="AK71" s="36"/>
      <c r="AL71" s="133"/>
      <c r="AM71" s="133"/>
      <c r="AN71" s="26"/>
      <c r="AO71" s="26"/>
      <c r="AP71" s="33"/>
      <c r="AQ71" s="33"/>
      <c r="AR71" s="26"/>
      <c r="AS71" s="26"/>
      <c r="AT71" s="209"/>
      <c r="AU71" s="217"/>
      <c r="AV71" s="36"/>
      <c r="AW71" s="213"/>
      <c r="AX71" s="37">
        <f t="shared" si="25"/>
        <v>17381.772187500002</v>
      </c>
    </row>
    <row r="72" spans="1:50" s="24" customFormat="1" ht="34.5" x14ac:dyDescent="0.2">
      <c r="A72" s="16">
        <v>23</v>
      </c>
      <c r="B72" s="118" t="s">
        <v>97</v>
      </c>
      <c r="C72" s="116" t="s">
        <v>261</v>
      </c>
      <c r="D72" s="116" t="s">
        <v>10</v>
      </c>
      <c r="E72" s="28" t="s">
        <v>106</v>
      </c>
      <c r="F72" s="30" t="s">
        <v>26</v>
      </c>
      <c r="G72" s="124">
        <v>4.59</v>
      </c>
      <c r="H72" s="116">
        <v>19.05</v>
      </c>
      <c r="I72" s="42">
        <f t="shared" si="14"/>
        <v>81229.23</v>
      </c>
      <c r="J72" s="42">
        <f t="shared" si="15"/>
        <v>20307.307499999999</v>
      </c>
      <c r="K72" s="42">
        <f t="shared" si="16"/>
        <v>101536.53749999999</v>
      </c>
      <c r="L72" s="42">
        <f t="shared" si="17"/>
        <v>203073.07499999998</v>
      </c>
      <c r="M72" s="129">
        <v>20</v>
      </c>
      <c r="N72" s="129"/>
      <c r="O72" s="129"/>
      <c r="P72" s="129"/>
      <c r="Q72" s="129"/>
      <c r="R72" s="40">
        <f t="shared" si="18"/>
        <v>20</v>
      </c>
      <c r="S72" s="34">
        <f t="shared" si="65"/>
        <v>253841.34374999997</v>
      </c>
      <c r="T72" s="34">
        <f t="shared" si="6"/>
        <v>0</v>
      </c>
      <c r="U72" s="34">
        <f t="shared" si="7"/>
        <v>0</v>
      </c>
      <c r="V72" s="34">
        <f t="shared" si="8"/>
        <v>0</v>
      </c>
      <c r="W72" s="34">
        <f t="shared" si="110"/>
        <v>0</v>
      </c>
      <c r="X72" s="34">
        <f t="shared" si="20"/>
        <v>253841.34374999997</v>
      </c>
      <c r="Y72" s="35">
        <f t="shared" si="21"/>
        <v>25384.134374999998</v>
      </c>
      <c r="Z72" s="26">
        <f t="shared" si="112"/>
        <v>0</v>
      </c>
      <c r="AA72" s="26">
        <f t="shared" si="111"/>
        <v>0</v>
      </c>
      <c r="AB72" s="26">
        <f t="shared" si="10"/>
        <v>20</v>
      </c>
      <c r="AC72" s="42">
        <f t="shared" si="11"/>
        <v>76152.403124999997</v>
      </c>
      <c r="AD72" s="42">
        <v>16</v>
      </c>
      <c r="AE72" s="39">
        <v>30</v>
      </c>
      <c r="AF72" s="42">
        <f t="shared" si="42"/>
        <v>60921.922499999993</v>
      </c>
      <c r="AG72" s="43"/>
      <c r="AH72" s="131">
        <v>16</v>
      </c>
      <c r="AI72" s="135"/>
      <c r="AJ72" s="36">
        <f t="shared" si="23"/>
        <v>7078.8</v>
      </c>
      <c r="AK72" s="36">
        <f t="shared" si="24"/>
        <v>0</v>
      </c>
      <c r="AL72" s="133">
        <v>1</v>
      </c>
      <c r="AM72" s="133"/>
      <c r="AN72" s="26">
        <f>SUM($I$35*AL72)*0.5</f>
        <v>8848.5</v>
      </c>
      <c r="AO72" s="26">
        <f>SUM($I$35*AM72)*0.6</f>
        <v>0</v>
      </c>
      <c r="AP72" s="33"/>
      <c r="AQ72" s="33"/>
      <c r="AR72" s="26">
        <f>SUM($I$35*AQ72)</f>
        <v>0</v>
      </c>
      <c r="AS72" s="26"/>
      <c r="AT72" s="209">
        <f>SUM($I$35*AS72)</f>
        <v>0</v>
      </c>
      <c r="AU72" s="217"/>
      <c r="AV72" s="36">
        <f>SUM($I$35*AU72)</f>
        <v>0</v>
      </c>
      <c r="AW72" s="213"/>
      <c r="AX72" s="37">
        <f t="shared" si="25"/>
        <v>432227.10374999995</v>
      </c>
    </row>
    <row r="73" spans="1:50" s="24" customFormat="1" ht="34.5" x14ac:dyDescent="0.2">
      <c r="A73" s="191">
        <v>24</v>
      </c>
      <c r="B73" s="218" t="s">
        <v>98</v>
      </c>
      <c r="C73" s="116" t="s">
        <v>99</v>
      </c>
      <c r="D73" s="116" t="s">
        <v>81</v>
      </c>
      <c r="E73" s="28" t="s">
        <v>192</v>
      </c>
      <c r="F73" s="30" t="s">
        <v>26</v>
      </c>
      <c r="G73" s="125">
        <v>4.59</v>
      </c>
      <c r="H73" s="116">
        <v>18.04</v>
      </c>
      <c r="I73" s="42">
        <f t="shared" si="14"/>
        <v>81229.23</v>
      </c>
      <c r="J73" s="42">
        <f t="shared" si="15"/>
        <v>20307.307499999999</v>
      </c>
      <c r="K73" s="42">
        <f t="shared" si="16"/>
        <v>101536.53749999999</v>
      </c>
      <c r="L73" s="42">
        <f t="shared" si="17"/>
        <v>203073.07499999998</v>
      </c>
      <c r="M73" s="129"/>
      <c r="N73" s="129"/>
      <c r="O73" s="129">
        <v>23.5</v>
      </c>
      <c r="P73" s="129"/>
      <c r="Q73" s="129"/>
      <c r="R73" s="40">
        <f t="shared" si="18"/>
        <v>23.5</v>
      </c>
      <c r="S73" s="34">
        <f t="shared" si="65"/>
        <v>0</v>
      </c>
      <c r="T73" s="34">
        <f t="shared" si="6"/>
        <v>0</v>
      </c>
      <c r="U73" s="34">
        <f t="shared" si="7"/>
        <v>298263.57890624995</v>
      </c>
      <c r="V73" s="34">
        <f t="shared" si="8"/>
        <v>0</v>
      </c>
      <c r="W73" s="34">
        <f t="shared" si="110"/>
        <v>0</v>
      </c>
      <c r="X73" s="34">
        <f t="shared" si="20"/>
        <v>298263.57890624995</v>
      </c>
      <c r="Y73" s="35">
        <f t="shared" si="21"/>
        <v>29826.357890624997</v>
      </c>
      <c r="Z73" s="26">
        <f t="shared" si="112"/>
        <v>0</v>
      </c>
      <c r="AA73" s="26">
        <f t="shared" si="111"/>
        <v>0</v>
      </c>
      <c r="AB73" s="26">
        <f t="shared" si="10"/>
        <v>23.5</v>
      </c>
      <c r="AC73" s="42">
        <f t="shared" si="11"/>
        <v>89479.073671874983</v>
      </c>
      <c r="AD73" s="42">
        <f t="shared" ref="AD73:AD88" si="115">SUM(R73)</f>
        <v>23.5</v>
      </c>
      <c r="AE73" s="39"/>
      <c r="AF73" s="42">
        <f t="shared" si="42"/>
        <v>0</v>
      </c>
      <c r="AG73" s="43"/>
      <c r="AH73" s="131"/>
      <c r="AI73" s="135">
        <v>11.5</v>
      </c>
      <c r="AJ73" s="36">
        <f t="shared" si="23"/>
        <v>0</v>
      </c>
      <c r="AK73" s="36">
        <f t="shared" si="24"/>
        <v>6359.859375</v>
      </c>
      <c r="AL73" s="133"/>
      <c r="AM73" s="133">
        <v>0.5</v>
      </c>
      <c r="AN73" s="26">
        <f>SUM($I$35*AL73)*0.5</f>
        <v>0</v>
      </c>
      <c r="AO73" s="26">
        <f>SUM($I$35*AM73)*0.6</f>
        <v>5309.0999999999995</v>
      </c>
      <c r="AP73" s="33"/>
      <c r="AQ73" s="33"/>
      <c r="AR73" s="26">
        <f>SUM($I$35*AQ73)</f>
        <v>0</v>
      </c>
      <c r="AS73" s="26"/>
      <c r="AT73" s="209">
        <f>SUM($I$35*AS73)</f>
        <v>0</v>
      </c>
      <c r="AU73" s="217"/>
      <c r="AV73" s="36">
        <f>SUM($I$35*AU73)</f>
        <v>0</v>
      </c>
      <c r="AW73" s="213"/>
      <c r="AX73" s="37">
        <f t="shared" si="25"/>
        <v>429237.96984374995</v>
      </c>
    </row>
    <row r="74" spans="1:50" s="17" customFormat="1" ht="34.5" x14ac:dyDescent="0.2">
      <c r="A74" s="16">
        <v>25</v>
      </c>
      <c r="B74" s="206" t="s">
        <v>101</v>
      </c>
      <c r="C74" s="120" t="s">
        <v>89</v>
      </c>
      <c r="D74" s="120" t="s">
        <v>102</v>
      </c>
      <c r="E74" s="27" t="s">
        <v>106</v>
      </c>
      <c r="F74" s="31" t="s">
        <v>26</v>
      </c>
      <c r="G74" s="125">
        <v>4.33</v>
      </c>
      <c r="H74" s="120">
        <v>7.02</v>
      </c>
      <c r="I74" s="42">
        <f t="shared" si="14"/>
        <v>76628.009999999995</v>
      </c>
      <c r="J74" s="42">
        <f t="shared" si="15"/>
        <v>19157.002499999999</v>
      </c>
      <c r="K74" s="42">
        <f t="shared" si="16"/>
        <v>95785.012499999997</v>
      </c>
      <c r="L74" s="42">
        <f t="shared" si="17"/>
        <v>191570.02499999999</v>
      </c>
      <c r="M74" s="129"/>
      <c r="N74" s="129"/>
      <c r="O74" s="129">
        <v>17</v>
      </c>
      <c r="P74" s="129">
        <v>4</v>
      </c>
      <c r="Q74" s="129">
        <v>4</v>
      </c>
      <c r="R74" s="40">
        <f t="shared" si="18"/>
        <v>25</v>
      </c>
      <c r="S74" s="34">
        <f t="shared" si="65"/>
        <v>0</v>
      </c>
      <c r="T74" s="34">
        <f t="shared" si="6"/>
        <v>0</v>
      </c>
      <c r="U74" s="34">
        <f t="shared" si="7"/>
        <v>203543.15156249999</v>
      </c>
      <c r="V74" s="34">
        <f t="shared" si="8"/>
        <v>47892.506249999999</v>
      </c>
      <c r="W74" s="34">
        <f t="shared" si="110"/>
        <v>47892.506249999999</v>
      </c>
      <c r="X74" s="34">
        <f t="shared" si="20"/>
        <v>299328.1640625</v>
      </c>
      <c r="Y74" s="35">
        <f t="shared" si="21"/>
        <v>29932.81640625</v>
      </c>
      <c r="Z74" s="26">
        <f t="shared" si="112"/>
        <v>4</v>
      </c>
      <c r="AA74" s="26">
        <f t="shared" si="111"/>
        <v>1769.7</v>
      </c>
      <c r="AB74" s="26">
        <f t="shared" si="10"/>
        <v>25</v>
      </c>
      <c r="AC74" s="42">
        <f t="shared" si="11"/>
        <v>89798.44921875</v>
      </c>
      <c r="AD74" s="42">
        <f t="shared" si="115"/>
        <v>25</v>
      </c>
      <c r="AE74" s="34">
        <v>30</v>
      </c>
      <c r="AF74" s="42">
        <f t="shared" si="42"/>
        <v>89798.44921875</v>
      </c>
      <c r="AG74" s="48"/>
      <c r="AH74" s="132"/>
      <c r="AI74" s="133">
        <v>13</v>
      </c>
      <c r="AJ74" s="36">
        <f t="shared" si="23"/>
        <v>0</v>
      </c>
      <c r="AK74" s="36">
        <f t="shared" si="24"/>
        <v>7189.40625</v>
      </c>
      <c r="AL74" s="133"/>
      <c r="AM74" s="133">
        <v>1</v>
      </c>
      <c r="AN74" s="26">
        <f>SUM($I$35*AL74)*0.5</f>
        <v>0</v>
      </c>
      <c r="AO74" s="26">
        <f>SUM($I$35*AM74)*0.6</f>
        <v>10618.199999999999</v>
      </c>
      <c r="AP74" s="26"/>
      <c r="AQ74" s="26"/>
      <c r="AR74" s="26">
        <f>SUM($I$35*AQ74)</f>
        <v>0</v>
      </c>
      <c r="AS74" s="26"/>
      <c r="AT74" s="209">
        <f>SUM($I$35*AS74)</f>
        <v>0</v>
      </c>
      <c r="AU74" s="215"/>
      <c r="AV74" s="36">
        <f>SUM($I$35*AU74)</f>
        <v>0</v>
      </c>
      <c r="AW74" s="211"/>
      <c r="AX74" s="37">
        <f t="shared" si="25"/>
        <v>528435.18515625002</v>
      </c>
    </row>
    <row r="75" spans="1:50" s="17" customFormat="1" ht="34.5" x14ac:dyDescent="0.2">
      <c r="A75" s="16">
        <v>26</v>
      </c>
      <c r="B75" s="118" t="s">
        <v>186</v>
      </c>
      <c r="C75" s="116" t="s">
        <v>262</v>
      </c>
      <c r="D75" s="116" t="s">
        <v>81</v>
      </c>
      <c r="E75" s="27" t="s">
        <v>115</v>
      </c>
      <c r="F75" s="122" t="s">
        <v>26</v>
      </c>
      <c r="G75" s="124">
        <v>4.59</v>
      </c>
      <c r="H75" s="116">
        <v>18</v>
      </c>
      <c r="I75" s="42">
        <f t="shared" si="14"/>
        <v>81229.23</v>
      </c>
      <c r="J75" s="42">
        <f t="shared" si="15"/>
        <v>20307.307499999999</v>
      </c>
      <c r="K75" s="42">
        <f t="shared" si="16"/>
        <v>101536.53749999999</v>
      </c>
      <c r="L75" s="42">
        <f t="shared" si="17"/>
        <v>203073.07499999998</v>
      </c>
      <c r="M75" s="129">
        <v>21</v>
      </c>
      <c r="N75" s="129"/>
      <c r="O75" s="129"/>
      <c r="P75" s="129"/>
      <c r="Q75" s="129"/>
      <c r="R75" s="40">
        <f t="shared" si="18"/>
        <v>21</v>
      </c>
      <c r="S75" s="34">
        <f t="shared" si="65"/>
        <v>266533.41093749995</v>
      </c>
      <c r="T75" s="34">
        <f t="shared" si="6"/>
        <v>0</v>
      </c>
      <c r="U75" s="34">
        <f t="shared" si="7"/>
        <v>0</v>
      </c>
      <c r="V75" s="34">
        <f t="shared" si="8"/>
        <v>0</v>
      </c>
      <c r="W75" s="34">
        <f t="shared" si="110"/>
        <v>0</v>
      </c>
      <c r="X75" s="34">
        <f t="shared" si="20"/>
        <v>266533.41093749995</v>
      </c>
      <c r="Y75" s="35">
        <f t="shared" si="21"/>
        <v>26653.341093749998</v>
      </c>
      <c r="Z75" s="26">
        <f t="shared" si="112"/>
        <v>0</v>
      </c>
      <c r="AA75" s="26">
        <f t="shared" ref="AA75:AA88" si="116">SUM(($I$35/16)*Z75)*0.4</f>
        <v>0</v>
      </c>
      <c r="AB75" s="26">
        <f t="shared" si="10"/>
        <v>21</v>
      </c>
      <c r="AC75" s="42">
        <f t="shared" si="11"/>
        <v>79960.023281249989</v>
      </c>
      <c r="AD75" s="42">
        <f t="shared" si="115"/>
        <v>21</v>
      </c>
      <c r="AE75" s="34">
        <v>30</v>
      </c>
      <c r="AF75" s="42">
        <f t="shared" si="42"/>
        <v>79960.023281249989</v>
      </c>
      <c r="AG75" s="48"/>
      <c r="AH75" s="132">
        <v>16</v>
      </c>
      <c r="AI75" s="133"/>
      <c r="AJ75" s="36">
        <f t="shared" si="23"/>
        <v>7078.8</v>
      </c>
      <c r="AK75" s="36">
        <f t="shared" si="24"/>
        <v>0</v>
      </c>
      <c r="AL75" s="133">
        <v>1</v>
      </c>
      <c r="AM75" s="133"/>
      <c r="AN75" s="26">
        <f t="shared" ref="AN75:AN82" si="117">SUM($I$35*AL75)*0.5</f>
        <v>8848.5</v>
      </c>
      <c r="AO75" s="26">
        <f t="shared" ref="AO75:AO82" si="118">SUM($I$35*AM75)*0.6</f>
        <v>0</v>
      </c>
      <c r="AP75" s="26"/>
      <c r="AQ75" s="26"/>
      <c r="AR75" s="26">
        <f t="shared" ref="AR75:AR82" si="119">SUM($I$35*AQ75)</f>
        <v>0</v>
      </c>
      <c r="AS75" s="26"/>
      <c r="AT75" s="209">
        <f t="shared" ref="AT75:AT82" si="120">SUM($I$35*AS75)</f>
        <v>0</v>
      </c>
      <c r="AU75" s="215"/>
      <c r="AV75" s="36">
        <f t="shared" ref="AV75:AV82" si="121">SUM($I$35*AU75)</f>
        <v>0</v>
      </c>
      <c r="AW75" s="211"/>
      <c r="AX75" s="37">
        <f t="shared" si="25"/>
        <v>469034.09859374986</v>
      </c>
    </row>
    <row r="76" spans="1:50" s="17" customFormat="1" ht="34.5" x14ac:dyDescent="0.2">
      <c r="A76" s="191">
        <v>27</v>
      </c>
      <c r="B76" s="243" t="s">
        <v>104</v>
      </c>
      <c r="C76" s="116" t="s">
        <v>263</v>
      </c>
      <c r="D76" s="116" t="s">
        <v>103</v>
      </c>
      <c r="E76" s="27" t="s">
        <v>107</v>
      </c>
      <c r="F76" s="123" t="s">
        <v>40</v>
      </c>
      <c r="G76" s="125">
        <v>4.29</v>
      </c>
      <c r="H76" s="116">
        <v>26.03</v>
      </c>
      <c r="I76" s="42">
        <f t="shared" si="14"/>
        <v>75920.13</v>
      </c>
      <c r="J76" s="42">
        <f t="shared" si="15"/>
        <v>18980.032500000001</v>
      </c>
      <c r="K76" s="42">
        <f t="shared" si="16"/>
        <v>94900.162500000006</v>
      </c>
      <c r="L76" s="42">
        <f t="shared" si="17"/>
        <v>189800.32500000001</v>
      </c>
      <c r="M76" s="26">
        <v>20</v>
      </c>
      <c r="N76" s="26"/>
      <c r="O76" s="26"/>
      <c r="P76" s="26"/>
      <c r="Q76" s="26"/>
      <c r="R76" s="40">
        <f t="shared" si="18"/>
        <v>20</v>
      </c>
      <c r="S76" s="34">
        <f t="shared" si="65"/>
        <v>237250.40625</v>
      </c>
      <c r="T76" s="34">
        <f t="shared" si="6"/>
        <v>0</v>
      </c>
      <c r="U76" s="34">
        <f t="shared" si="7"/>
        <v>0</v>
      </c>
      <c r="V76" s="34">
        <f t="shared" si="8"/>
        <v>0</v>
      </c>
      <c r="W76" s="34">
        <f t="shared" si="110"/>
        <v>0</v>
      </c>
      <c r="X76" s="34">
        <f t="shared" si="20"/>
        <v>237250.40625</v>
      </c>
      <c r="Y76" s="35">
        <f t="shared" si="21"/>
        <v>23725.040625000001</v>
      </c>
      <c r="Z76" s="26">
        <f t="shared" si="112"/>
        <v>0</v>
      </c>
      <c r="AA76" s="26">
        <f t="shared" si="116"/>
        <v>0</v>
      </c>
      <c r="AB76" s="26">
        <f t="shared" si="10"/>
        <v>20</v>
      </c>
      <c r="AC76" s="42">
        <f t="shared" si="11"/>
        <v>71175.121875000012</v>
      </c>
      <c r="AD76" s="42">
        <f t="shared" si="115"/>
        <v>20</v>
      </c>
      <c r="AE76" s="34">
        <v>35</v>
      </c>
      <c r="AF76" s="42">
        <f t="shared" si="42"/>
        <v>83037.642187500009</v>
      </c>
      <c r="AG76" s="48"/>
      <c r="AH76" s="132">
        <v>8</v>
      </c>
      <c r="AI76" s="133"/>
      <c r="AJ76" s="36">
        <f t="shared" si="23"/>
        <v>3539.4</v>
      </c>
      <c r="AK76" s="36">
        <f t="shared" si="24"/>
        <v>0</v>
      </c>
      <c r="AL76" s="133">
        <v>0.5</v>
      </c>
      <c r="AM76" s="133"/>
      <c r="AN76" s="26">
        <f t="shared" si="117"/>
        <v>4424.25</v>
      </c>
      <c r="AO76" s="26">
        <f t="shared" si="118"/>
        <v>0</v>
      </c>
      <c r="AP76" s="26"/>
      <c r="AQ76" s="26"/>
      <c r="AR76" s="26">
        <f t="shared" si="119"/>
        <v>0</v>
      </c>
      <c r="AS76" s="26"/>
      <c r="AT76" s="209">
        <f t="shared" si="120"/>
        <v>0</v>
      </c>
      <c r="AU76" s="215"/>
      <c r="AV76" s="36">
        <f t="shared" si="121"/>
        <v>0</v>
      </c>
      <c r="AW76" s="211"/>
      <c r="AX76" s="37">
        <f t="shared" si="25"/>
        <v>423151.86093750002</v>
      </c>
    </row>
    <row r="77" spans="1:50" s="17" customFormat="1" ht="34.5" x14ac:dyDescent="0.2">
      <c r="A77" s="16">
        <v>28</v>
      </c>
      <c r="B77" s="205" t="s">
        <v>194</v>
      </c>
      <c r="C77" s="120" t="s">
        <v>264</v>
      </c>
      <c r="D77" s="120" t="s">
        <v>10</v>
      </c>
      <c r="E77" s="27" t="s">
        <v>106</v>
      </c>
      <c r="F77" s="123" t="s">
        <v>26</v>
      </c>
      <c r="G77" s="125">
        <v>4.33</v>
      </c>
      <c r="H77" s="120">
        <v>8.09</v>
      </c>
      <c r="I77" s="42">
        <f t="shared" si="14"/>
        <v>76628.009999999995</v>
      </c>
      <c r="J77" s="42">
        <f t="shared" si="15"/>
        <v>19157.002499999999</v>
      </c>
      <c r="K77" s="42">
        <f t="shared" si="16"/>
        <v>95785.012499999997</v>
      </c>
      <c r="L77" s="42">
        <f t="shared" si="17"/>
        <v>191570.02499999999</v>
      </c>
      <c r="M77" s="26">
        <v>16</v>
      </c>
      <c r="N77" s="26"/>
      <c r="O77" s="26"/>
      <c r="P77" s="26"/>
      <c r="Q77" s="26"/>
      <c r="R77" s="40">
        <f t="shared" si="18"/>
        <v>16</v>
      </c>
      <c r="S77" s="34">
        <f t="shared" si="65"/>
        <v>191570.02499999999</v>
      </c>
      <c r="T77" s="34">
        <f t="shared" si="6"/>
        <v>0</v>
      </c>
      <c r="U77" s="34">
        <f t="shared" si="7"/>
        <v>0</v>
      </c>
      <c r="V77" s="34">
        <f t="shared" si="8"/>
        <v>0</v>
      </c>
      <c r="W77" s="34">
        <f t="shared" si="110"/>
        <v>0</v>
      </c>
      <c r="X77" s="34">
        <f t="shared" si="20"/>
        <v>191570.02499999999</v>
      </c>
      <c r="Y77" s="35">
        <f t="shared" si="21"/>
        <v>19157.002499999999</v>
      </c>
      <c r="Z77" s="26">
        <f t="shared" si="112"/>
        <v>0</v>
      </c>
      <c r="AA77" s="26">
        <f t="shared" si="116"/>
        <v>0</v>
      </c>
      <c r="AB77" s="26">
        <f t="shared" si="10"/>
        <v>16</v>
      </c>
      <c r="AC77" s="42">
        <f t="shared" si="11"/>
        <v>57471.0075</v>
      </c>
      <c r="AD77" s="42">
        <f t="shared" si="115"/>
        <v>16</v>
      </c>
      <c r="AE77" s="34">
        <v>30</v>
      </c>
      <c r="AF77" s="42">
        <f t="shared" si="42"/>
        <v>57471.0075</v>
      </c>
      <c r="AG77" s="48"/>
      <c r="AH77" s="132">
        <v>8</v>
      </c>
      <c r="AI77" s="133"/>
      <c r="AJ77" s="36">
        <f t="shared" si="23"/>
        <v>3539.4</v>
      </c>
      <c r="AK77" s="36">
        <f t="shared" si="24"/>
        <v>0</v>
      </c>
      <c r="AL77" s="133">
        <v>0.5</v>
      </c>
      <c r="AM77" s="133"/>
      <c r="AN77" s="26">
        <f t="shared" si="117"/>
        <v>4424.25</v>
      </c>
      <c r="AO77" s="26">
        <f t="shared" si="118"/>
        <v>0</v>
      </c>
      <c r="AP77" s="26"/>
      <c r="AQ77" s="26"/>
      <c r="AR77" s="26">
        <f t="shared" si="119"/>
        <v>0</v>
      </c>
      <c r="AS77" s="26"/>
      <c r="AT77" s="209">
        <f t="shared" si="120"/>
        <v>0</v>
      </c>
      <c r="AU77" s="215"/>
      <c r="AV77" s="36">
        <f t="shared" si="121"/>
        <v>0</v>
      </c>
      <c r="AW77" s="211"/>
      <c r="AX77" s="37">
        <f t="shared" si="25"/>
        <v>333632.6925</v>
      </c>
    </row>
    <row r="78" spans="1:50" s="17" customFormat="1" ht="34.5" x14ac:dyDescent="0.2">
      <c r="A78" s="16"/>
      <c r="B78" s="202" t="s">
        <v>185</v>
      </c>
      <c r="C78" s="120" t="s">
        <v>271</v>
      </c>
      <c r="D78" s="120" t="s">
        <v>10</v>
      </c>
      <c r="E78" s="27" t="s">
        <v>106</v>
      </c>
      <c r="F78" s="123" t="s">
        <v>26</v>
      </c>
      <c r="G78" s="125">
        <v>4.33</v>
      </c>
      <c r="H78" s="120">
        <v>8.09</v>
      </c>
      <c r="I78" s="42">
        <f t="shared" ref="I78" si="122">17697*G78</f>
        <v>76628.009999999995</v>
      </c>
      <c r="J78" s="42">
        <f t="shared" ref="J78" si="123">I78*0.25</f>
        <v>19157.002499999999</v>
      </c>
      <c r="K78" s="42">
        <f t="shared" ref="K78" si="124">(I78+J78)*1</f>
        <v>95785.012499999997</v>
      </c>
      <c r="L78" s="42">
        <f t="shared" ref="L78" si="125">(I78+J78)*2</f>
        <v>191570.02499999999</v>
      </c>
      <c r="M78" s="26">
        <v>4</v>
      </c>
      <c r="N78" s="26"/>
      <c r="O78" s="26"/>
      <c r="P78" s="26"/>
      <c r="Q78" s="26"/>
      <c r="R78" s="40">
        <f t="shared" si="18"/>
        <v>4</v>
      </c>
      <c r="S78" s="34">
        <f t="shared" si="65"/>
        <v>47892.506249999999</v>
      </c>
      <c r="T78" s="34"/>
      <c r="U78" s="34"/>
      <c r="V78" s="34"/>
      <c r="W78" s="34"/>
      <c r="X78" s="34">
        <f t="shared" ref="X78" si="126">SUM(S78:W78)</f>
        <v>47892.506249999999</v>
      </c>
      <c r="Y78" s="35">
        <f t="shared" ref="Y78" si="127">X78*0.1</f>
        <v>4789.2506249999997</v>
      </c>
      <c r="Z78" s="26">
        <f t="shared" ref="Z78" si="128">SUM(N78+P78)</f>
        <v>0</v>
      </c>
      <c r="AA78" s="26">
        <f t="shared" ref="AA78" si="129">SUM(($I$35/16)*Z78)*0.4</f>
        <v>0</v>
      </c>
      <c r="AB78" s="26">
        <f t="shared" ref="AB78" si="130">SUM(R78)</f>
        <v>4</v>
      </c>
      <c r="AC78" s="42">
        <f t="shared" ref="AC78" si="131">L78*0.3/16*AB78</f>
        <v>14367.751875</v>
      </c>
      <c r="AD78" s="42">
        <f t="shared" ref="AD78" si="132">SUM(R78)</f>
        <v>4</v>
      </c>
      <c r="AE78" s="34">
        <v>30</v>
      </c>
      <c r="AF78" s="42">
        <f t="shared" ref="AF78" si="133">(L78*AE78/100)/16*AD78</f>
        <v>14367.751875</v>
      </c>
      <c r="AG78" s="48"/>
      <c r="AH78" s="132"/>
      <c r="AI78" s="133"/>
      <c r="AJ78" s="36"/>
      <c r="AK78" s="36"/>
      <c r="AL78" s="133"/>
      <c r="AM78" s="133"/>
      <c r="AN78" s="26"/>
      <c r="AO78" s="26"/>
      <c r="AP78" s="26"/>
      <c r="AQ78" s="26"/>
      <c r="AR78" s="26"/>
      <c r="AS78" s="26"/>
      <c r="AT78" s="209"/>
      <c r="AU78" s="215"/>
      <c r="AV78" s="36"/>
      <c r="AW78" s="211"/>
      <c r="AX78" s="37">
        <f t="shared" si="25"/>
        <v>81417.260624999995</v>
      </c>
    </row>
    <row r="79" spans="1:50" s="17" customFormat="1" ht="34.5" x14ac:dyDescent="0.2">
      <c r="A79" s="16">
        <v>29</v>
      </c>
      <c r="B79" s="202" t="s">
        <v>182</v>
      </c>
      <c r="C79" s="120" t="s">
        <v>265</v>
      </c>
      <c r="D79" s="120" t="s">
        <v>10</v>
      </c>
      <c r="E79" s="27" t="s">
        <v>107</v>
      </c>
      <c r="F79" s="123" t="s">
        <v>26</v>
      </c>
      <c r="G79" s="125">
        <v>4.49</v>
      </c>
      <c r="H79" s="120">
        <v>15.06</v>
      </c>
      <c r="I79" s="42">
        <f t="shared" si="14"/>
        <v>79459.53</v>
      </c>
      <c r="J79" s="42">
        <f t="shared" si="15"/>
        <v>19864.8825</v>
      </c>
      <c r="K79" s="42">
        <f t="shared" si="16"/>
        <v>99324.412500000006</v>
      </c>
      <c r="L79" s="42">
        <f t="shared" si="17"/>
        <v>198648.82500000001</v>
      </c>
      <c r="M79" s="26">
        <v>16</v>
      </c>
      <c r="N79" s="26"/>
      <c r="O79" s="26"/>
      <c r="P79" s="26"/>
      <c r="Q79" s="26"/>
      <c r="R79" s="40">
        <f t="shared" si="18"/>
        <v>16</v>
      </c>
      <c r="S79" s="34">
        <f t="shared" si="65"/>
        <v>198648.82500000001</v>
      </c>
      <c r="T79" s="34">
        <f t="shared" si="6"/>
        <v>0</v>
      </c>
      <c r="U79" s="34">
        <f t="shared" si="7"/>
        <v>0</v>
      </c>
      <c r="V79" s="34">
        <f t="shared" si="8"/>
        <v>0</v>
      </c>
      <c r="W79" s="34">
        <f t="shared" si="110"/>
        <v>0</v>
      </c>
      <c r="X79" s="34">
        <f t="shared" si="20"/>
        <v>198648.82500000001</v>
      </c>
      <c r="Y79" s="35">
        <f t="shared" si="21"/>
        <v>19864.882500000003</v>
      </c>
      <c r="Z79" s="26">
        <v>0</v>
      </c>
      <c r="AA79" s="26">
        <f t="shared" si="116"/>
        <v>0</v>
      </c>
      <c r="AB79" s="26">
        <f t="shared" si="10"/>
        <v>16</v>
      </c>
      <c r="AC79" s="42">
        <f t="shared" si="11"/>
        <v>59594.647499999999</v>
      </c>
      <c r="AD79" s="42">
        <f t="shared" si="115"/>
        <v>16</v>
      </c>
      <c r="AE79" s="34">
        <v>35</v>
      </c>
      <c r="AF79" s="42">
        <f t="shared" si="42"/>
        <v>69527.088749999995</v>
      </c>
      <c r="AG79" s="48"/>
      <c r="AH79" s="132">
        <v>16</v>
      </c>
      <c r="AI79" s="133"/>
      <c r="AJ79" s="36">
        <f t="shared" ref="AJ79" si="134">SUM(17697/16*0.4*AH79)</f>
        <v>7078.8</v>
      </c>
      <c r="AK79" s="36">
        <f t="shared" ref="AK79" si="135">SUM(17697/16*0.5*AI79)</f>
        <v>0</v>
      </c>
      <c r="AL79" s="133">
        <v>1</v>
      </c>
      <c r="AM79" s="133"/>
      <c r="AN79" s="26">
        <f t="shared" si="117"/>
        <v>8848.5</v>
      </c>
      <c r="AO79" s="26">
        <f t="shared" si="118"/>
        <v>0</v>
      </c>
      <c r="AP79" s="26"/>
      <c r="AQ79" s="26"/>
      <c r="AR79" s="26">
        <f t="shared" si="119"/>
        <v>0</v>
      </c>
      <c r="AS79" s="26"/>
      <c r="AT79" s="209">
        <f t="shared" si="120"/>
        <v>0</v>
      </c>
      <c r="AU79" s="215"/>
      <c r="AV79" s="36">
        <f t="shared" si="121"/>
        <v>0</v>
      </c>
      <c r="AW79" s="211"/>
      <c r="AX79" s="37">
        <f t="shared" si="25"/>
        <v>363562.74375000002</v>
      </c>
    </row>
    <row r="80" spans="1:50" s="17" customFormat="1" ht="34.5" x14ac:dyDescent="0.2">
      <c r="A80" s="16"/>
      <c r="B80" s="202" t="s">
        <v>185</v>
      </c>
      <c r="C80" s="120" t="s">
        <v>265</v>
      </c>
      <c r="D80" s="120" t="s">
        <v>10</v>
      </c>
      <c r="E80" s="27" t="s">
        <v>107</v>
      </c>
      <c r="F80" s="123" t="s">
        <v>26</v>
      </c>
      <c r="G80" s="125">
        <v>4.49</v>
      </c>
      <c r="H80" s="120">
        <v>15.06</v>
      </c>
      <c r="I80" s="42">
        <f t="shared" ref="I80" si="136">17697*G80</f>
        <v>79459.53</v>
      </c>
      <c r="J80" s="42">
        <f t="shared" ref="J80" si="137">I80*0.25</f>
        <v>19864.8825</v>
      </c>
      <c r="K80" s="42">
        <f t="shared" ref="K80" si="138">(I80+J80)*1</f>
        <v>99324.412500000006</v>
      </c>
      <c r="L80" s="42">
        <f t="shared" ref="L80" si="139">(I80+J80)*2</f>
        <v>198648.82500000001</v>
      </c>
      <c r="M80" s="26">
        <v>3</v>
      </c>
      <c r="N80" s="26"/>
      <c r="O80" s="26"/>
      <c r="P80" s="26"/>
      <c r="Q80" s="26"/>
      <c r="R80" s="40">
        <f t="shared" si="18"/>
        <v>3</v>
      </c>
      <c r="S80" s="34">
        <f t="shared" si="65"/>
        <v>37246.654687500006</v>
      </c>
      <c r="T80" s="34">
        <f t="shared" ref="T80" si="140">N80/16*L80</f>
        <v>0</v>
      </c>
      <c r="U80" s="34">
        <f t="shared" ref="U80" si="141">O80/16*L80</f>
        <v>0</v>
      </c>
      <c r="V80" s="34">
        <f t="shared" ref="V80" si="142">P80/16*L80</f>
        <v>0</v>
      </c>
      <c r="W80" s="34">
        <f t="shared" ref="W80" si="143">Q80/16*L80</f>
        <v>0</v>
      </c>
      <c r="X80" s="34">
        <f t="shared" ref="X80" si="144">SUM(S80:W80)</f>
        <v>37246.654687500006</v>
      </c>
      <c r="Y80" s="35">
        <f t="shared" ref="Y80" si="145">X80*0.1</f>
        <v>3724.6654687500009</v>
      </c>
      <c r="Z80" s="26"/>
      <c r="AA80" s="26"/>
      <c r="AB80" s="26">
        <f t="shared" si="10"/>
        <v>3</v>
      </c>
      <c r="AC80" s="42">
        <f t="shared" si="11"/>
        <v>11173.99640625</v>
      </c>
      <c r="AD80" s="42">
        <f t="shared" si="115"/>
        <v>3</v>
      </c>
      <c r="AE80" s="34">
        <v>35</v>
      </c>
      <c r="AF80" s="42">
        <f t="shared" si="42"/>
        <v>13036.329140624999</v>
      </c>
      <c r="AG80" s="48"/>
      <c r="AH80" s="132"/>
      <c r="AI80" s="133"/>
      <c r="AJ80" s="36"/>
      <c r="AK80" s="36"/>
      <c r="AL80" s="133"/>
      <c r="AM80" s="133"/>
      <c r="AN80" s="26"/>
      <c r="AO80" s="26"/>
      <c r="AP80" s="26"/>
      <c r="AQ80" s="26"/>
      <c r="AR80" s="26"/>
      <c r="AS80" s="26"/>
      <c r="AT80" s="209"/>
      <c r="AU80" s="215"/>
      <c r="AV80" s="36"/>
      <c r="AW80" s="211"/>
      <c r="AX80" s="37">
        <f t="shared" si="25"/>
        <v>65181.645703125003</v>
      </c>
    </row>
    <row r="81" spans="1:50" s="17" customFormat="1" ht="34.5" x14ac:dyDescent="0.2">
      <c r="A81" s="16">
        <v>30</v>
      </c>
      <c r="B81" s="204" t="s">
        <v>202</v>
      </c>
      <c r="C81" s="121" t="s">
        <v>19</v>
      </c>
      <c r="D81" s="116" t="s">
        <v>10</v>
      </c>
      <c r="E81" s="27" t="s">
        <v>21</v>
      </c>
      <c r="F81" s="108" t="s">
        <v>26</v>
      </c>
      <c r="G81" s="125">
        <v>4.0999999999999996</v>
      </c>
      <c r="H81" s="126">
        <v>0.1</v>
      </c>
      <c r="I81" s="42">
        <f t="shared" si="14"/>
        <v>72557.7</v>
      </c>
      <c r="J81" s="42">
        <f t="shared" si="15"/>
        <v>18139.424999999999</v>
      </c>
      <c r="K81" s="42">
        <f t="shared" si="16"/>
        <v>90697.125</v>
      </c>
      <c r="L81" s="42">
        <f t="shared" si="17"/>
        <v>181394.25</v>
      </c>
      <c r="M81" s="26"/>
      <c r="N81" s="26"/>
      <c r="O81" s="26">
        <v>15</v>
      </c>
      <c r="P81" s="26"/>
      <c r="Q81" s="26">
        <v>3</v>
      </c>
      <c r="R81" s="40">
        <f t="shared" si="18"/>
        <v>18</v>
      </c>
      <c r="S81" s="34">
        <f t="shared" si="65"/>
        <v>0</v>
      </c>
      <c r="T81" s="34">
        <f t="shared" si="6"/>
        <v>0</v>
      </c>
      <c r="U81" s="34">
        <f t="shared" si="7"/>
        <v>170057.109375</v>
      </c>
      <c r="V81" s="34">
        <f t="shared" si="8"/>
        <v>0</v>
      </c>
      <c r="W81" s="34">
        <f t="shared" si="110"/>
        <v>34011.421875</v>
      </c>
      <c r="X81" s="34">
        <f t="shared" si="20"/>
        <v>204068.53125</v>
      </c>
      <c r="Y81" s="35">
        <f t="shared" si="21"/>
        <v>20406.853125000001</v>
      </c>
      <c r="Z81" s="26">
        <f>SUM(N81+P81)</f>
        <v>0</v>
      </c>
      <c r="AA81" s="26">
        <f t="shared" si="116"/>
        <v>0</v>
      </c>
      <c r="AB81" s="26">
        <f t="shared" si="10"/>
        <v>18</v>
      </c>
      <c r="AC81" s="42">
        <f t="shared" si="11"/>
        <v>61220.559375000004</v>
      </c>
      <c r="AD81" s="42">
        <f t="shared" si="115"/>
        <v>18</v>
      </c>
      <c r="AE81" s="34"/>
      <c r="AF81" s="42">
        <f t="shared" si="42"/>
        <v>0</v>
      </c>
      <c r="AG81" s="48"/>
      <c r="AH81" s="132"/>
      <c r="AI81" s="133"/>
      <c r="AJ81" s="36">
        <f t="shared" si="23"/>
        <v>0</v>
      </c>
      <c r="AK81" s="36">
        <f t="shared" si="24"/>
        <v>0</v>
      </c>
      <c r="AL81" s="133"/>
      <c r="AM81" s="133"/>
      <c r="AN81" s="26">
        <f t="shared" si="117"/>
        <v>0</v>
      </c>
      <c r="AO81" s="26">
        <f t="shared" si="118"/>
        <v>0</v>
      </c>
      <c r="AP81" s="26"/>
      <c r="AQ81" s="26"/>
      <c r="AR81" s="26">
        <f t="shared" si="119"/>
        <v>0</v>
      </c>
      <c r="AS81" s="26">
        <v>1</v>
      </c>
      <c r="AT81" s="209">
        <f t="shared" si="120"/>
        <v>17697</v>
      </c>
      <c r="AU81" s="215"/>
      <c r="AV81" s="36">
        <f t="shared" si="121"/>
        <v>0</v>
      </c>
      <c r="AW81" s="211"/>
      <c r="AX81" s="37">
        <f t="shared" si="25"/>
        <v>303392.94374999998</v>
      </c>
    </row>
    <row r="82" spans="1:50" s="17" customFormat="1" ht="34.5" x14ac:dyDescent="0.2">
      <c r="A82" s="191">
        <v>31</v>
      </c>
      <c r="B82" s="218" t="s">
        <v>183</v>
      </c>
      <c r="C82" s="121" t="s">
        <v>84</v>
      </c>
      <c r="D82" s="116" t="s">
        <v>81</v>
      </c>
      <c r="E82" s="27" t="s">
        <v>111</v>
      </c>
      <c r="F82" s="108" t="s">
        <v>24</v>
      </c>
      <c r="G82" s="125">
        <v>4.95</v>
      </c>
      <c r="H82" s="116">
        <v>16.09</v>
      </c>
      <c r="I82" s="42">
        <f t="shared" si="14"/>
        <v>87600.150000000009</v>
      </c>
      <c r="J82" s="42">
        <f t="shared" si="15"/>
        <v>21900.037500000002</v>
      </c>
      <c r="K82" s="42">
        <f t="shared" si="16"/>
        <v>109500.18750000001</v>
      </c>
      <c r="L82" s="42">
        <f t="shared" si="17"/>
        <v>219000.37500000003</v>
      </c>
      <c r="M82" s="26"/>
      <c r="N82" s="26"/>
      <c r="O82" s="26">
        <v>15</v>
      </c>
      <c r="P82" s="26">
        <v>3</v>
      </c>
      <c r="Q82" s="26">
        <v>6</v>
      </c>
      <c r="R82" s="40">
        <f t="shared" si="18"/>
        <v>24</v>
      </c>
      <c r="S82" s="34">
        <f t="shared" si="65"/>
        <v>0</v>
      </c>
      <c r="T82" s="34">
        <f t="shared" si="6"/>
        <v>0</v>
      </c>
      <c r="U82" s="34">
        <f t="shared" si="7"/>
        <v>205312.85156250003</v>
      </c>
      <c r="V82" s="34">
        <f t="shared" si="8"/>
        <v>41062.570312500007</v>
      </c>
      <c r="W82" s="34">
        <f t="shared" si="110"/>
        <v>82125.140625000015</v>
      </c>
      <c r="X82" s="34">
        <f t="shared" si="20"/>
        <v>328500.56250000006</v>
      </c>
      <c r="Y82" s="35">
        <f t="shared" si="21"/>
        <v>32850.056250000009</v>
      </c>
      <c r="Z82" s="26">
        <f>SUM(N82+P82)</f>
        <v>3</v>
      </c>
      <c r="AA82" s="26">
        <f t="shared" si="116"/>
        <v>1327.2750000000001</v>
      </c>
      <c r="AB82" s="26">
        <f t="shared" si="10"/>
        <v>24</v>
      </c>
      <c r="AC82" s="42">
        <f t="shared" si="11"/>
        <v>98550.168750000012</v>
      </c>
      <c r="AD82" s="42">
        <f t="shared" si="115"/>
        <v>24</v>
      </c>
      <c r="AE82" s="34">
        <v>40</v>
      </c>
      <c r="AF82" s="42">
        <f t="shared" si="42"/>
        <v>131400.22500000003</v>
      </c>
      <c r="AG82" s="48"/>
      <c r="AH82" s="132">
        <v>18</v>
      </c>
      <c r="AI82" s="26"/>
      <c r="AJ82" s="36">
        <f t="shared" si="23"/>
        <v>7963.6500000000005</v>
      </c>
      <c r="AK82" s="36">
        <f t="shared" si="24"/>
        <v>0</v>
      </c>
      <c r="AL82" s="133"/>
      <c r="AM82" s="133">
        <v>1</v>
      </c>
      <c r="AN82" s="26">
        <f t="shared" si="117"/>
        <v>0</v>
      </c>
      <c r="AO82" s="26">
        <f t="shared" si="118"/>
        <v>10618.199999999999</v>
      </c>
      <c r="AP82" s="26"/>
      <c r="AQ82" s="26"/>
      <c r="AR82" s="26">
        <f t="shared" si="119"/>
        <v>0</v>
      </c>
      <c r="AS82" s="26"/>
      <c r="AT82" s="209">
        <f t="shared" si="120"/>
        <v>0</v>
      </c>
      <c r="AU82" s="215">
        <v>1</v>
      </c>
      <c r="AV82" s="36">
        <f t="shared" si="121"/>
        <v>17697</v>
      </c>
      <c r="AW82" s="211"/>
      <c r="AX82" s="37">
        <f t="shared" si="25"/>
        <v>628907.13750000007</v>
      </c>
    </row>
    <row r="83" spans="1:50" s="17" customFormat="1" ht="34.5" x14ac:dyDescent="0.2">
      <c r="A83" s="16">
        <v>32</v>
      </c>
      <c r="B83" s="204" t="s">
        <v>190</v>
      </c>
      <c r="C83" s="121" t="s">
        <v>266</v>
      </c>
      <c r="D83" s="116" t="s">
        <v>105</v>
      </c>
      <c r="E83" s="27" t="s">
        <v>115</v>
      </c>
      <c r="F83" s="108" t="s">
        <v>197</v>
      </c>
      <c r="G83" s="125">
        <v>3.53</v>
      </c>
      <c r="H83" s="116">
        <v>9.01</v>
      </c>
      <c r="I83" s="42">
        <f t="shared" si="14"/>
        <v>62470.409999999996</v>
      </c>
      <c r="J83" s="42">
        <f t="shared" si="15"/>
        <v>15617.602499999999</v>
      </c>
      <c r="K83" s="42">
        <f t="shared" si="16"/>
        <v>78088.012499999997</v>
      </c>
      <c r="L83" s="42">
        <f t="shared" si="17"/>
        <v>156176.02499999999</v>
      </c>
      <c r="M83" s="26">
        <v>8</v>
      </c>
      <c r="N83" s="26"/>
      <c r="O83" s="26">
        <v>0.5</v>
      </c>
      <c r="P83" s="26"/>
      <c r="Q83" s="26"/>
      <c r="R83" s="40">
        <f t="shared" si="18"/>
        <v>8.5</v>
      </c>
      <c r="S83" s="34">
        <f t="shared" si="65"/>
        <v>78088.012499999997</v>
      </c>
      <c r="T83" s="34">
        <f t="shared" si="6"/>
        <v>0</v>
      </c>
      <c r="U83" s="34">
        <f t="shared" si="7"/>
        <v>4880.5007812499998</v>
      </c>
      <c r="V83" s="34">
        <f t="shared" si="8"/>
        <v>0</v>
      </c>
      <c r="W83" s="34">
        <f t="shared" si="110"/>
        <v>0</v>
      </c>
      <c r="X83" s="34">
        <f t="shared" si="20"/>
        <v>82968.513281249994</v>
      </c>
      <c r="Y83" s="35">
        <f t="shared" ref="Y83" si="146">X83*0.1</f>
        <v>8296.8513281249998</v>
      </c>
      <c r="Z83" s="26">
        <f>SUM(N83+P83)</f>
        <v>0</v>
      </c>
      <c r="AA83" s="26">
        <f t="shared" si="116"/>
        <v>0</v>
      </c>
      <c r="AB83" s="26">
        <f t="shared" si="10"/>
        <v>8.5</v>
      </c>
      <c r="AC83" s="42">
        <f t="shared" si="11"/>
        <v>24890.553984374998</v>
      </c>
      <c r="AD83" s="42">
        <v>8</v>
      </c>
      <c r="AE83" s="34">
        <v>30</v>
      </c>
      <c r="AF83" s="42">
        <f t="shared" si="42"/>
        <v>23426.403750000001</v>
      </c>
      <c r="AG83" s="48"/>
      <c r="AH83" s="132">
        <v>4</v>
      </c>
      <c r="AI83" s="26"/>
      <c r="AJ83" s="36">
        <f t="shared" ref="AJ83" si="147">SUM(17697/16*0.4*AH83)</f>
        <v>1769.7</v>
      </c>
      <c r="AK83" s="36">
        <f t="shared" ref="AK83" si="148">SUM(17697/16*0.5*AI83)</f>
        <v>0</v>
      </c>
      <c r="AL83" s="133"/>
      <c r="AM83" s="133">
        <v>0.5</v>
      </c>
      <c r="AN83" s="26">
        <f>SUM($I$35*AL83)*0.5</f>
        <v>0</v>
      </c>
      <c r="AO83" s="26">
        <f>SUM($I$35*AM83)*0.6</f>
        <v>5309.0999999999995</v>
      </c>
      <c r="AP83" s="26"/>
      <c r="AQ83" s="26"/>
      <c r="AR83" s="26">
        <f>SUM($I$35*AQ83)</f>
        <v>0</v>
      </c>
      <c r="AS83" s="26"/>
      <c r="AT83" s="209">
        <f>SUM($I$35*AS83)</f>
        <v>0</v>
      </c>
      <c r="AU83" s="215"/>
      <c r="AV83" s="36">
        <f>SUM($I$35*AU83)</f>
        <v>0</v>
      </c>
      <c r="AW83" s="211"/>
      <c r="AX83" s="37">
        <f t="shared" si="25"/>
        <v>146661.12234375003</v>
      </c>
    </row>
    <row r="84" spans="1:50" s="17" customFormat="1" ht="34.5" x14ac:dyDescent="0.2">
      <c r="A84" s="16">
        <v>33</v>
      </c>
      <c r="B84" s="218" t="s">
        <v>79</v>
      </c>
      <c r="C84" s="116" t="s">
        <v>80</v>
      </c>
      <c r="D84" s="116" t="s">
        <v>81</v>
      </c>
      <c r="E84" s="116" t="s">
        <v>177</v>
      </c>
      <c r="F84" s="29" t="s">
        <v>26</v>
      </c>
      <c r="G84" s="124">
        <v>4.7300000000000004</v>
      </c>
      <c r="H84" s="116">
        <v>38.03</v>
      </c>
      <c r="I84" s="42">
        <f>17697*G84</f>
        <v>83706.810000000012</v>
      </c>
      <c r="J84" s="42">
        <f>I84*0.25</f>
        <v>20926.702500000003</v>
      </c>
      <c r="K84" s="42">
        <f>(I84+J84)*1</f>
        <v>104633.51250000001</v>
      </c>
      <c r="L84" s="42">
        <f>(I84+J84)*2</f>
        <v>209267.02500000002</v>
      </c>
      <c r="M84" s="26"/>
      <c r="N84" s="26"/>
      <c r="O84" s="26">
        <v>14</v>
      </c>
      <c r="P84" s="26"/>
      <c r="Q84" s="26">
        <v>6</v>
      </c>
      <c r="R84" s="40">
        <f>SUM(M84:Q84)</f>
        <v>20</v>
      </c>
      <c r="S84" s="34">
        <f t="shared" si="65"/>
        <v>0</v>
      </c>
      <c r="T84" s="34">
        <f t="shared" ref="T84:T87" si="149">N84/16*L84</f>
        <v>0</v>
      </c>
      <c r="U84" s="34">
        <f t="shared" ref="U84:U87" si="150">O84/16*L84</f>
        <v>183108.64687500003</v>
      </c>
      <c r="V84" s="34">
        <f t="shared" ref="V84:V87" si="151">P84/16*L84</f>
        <v>0</v>
      </c>
      <c r="W84" s="34">
        <f>Q84/16*L84</f>
        <v>78475.134375000009</v>
      </c>
      <c r="X84" s="34">
        <f>SUM(S84:W84)</f>
        <v>261583.78125000006</v>
      </c>
      <c r="Y84" s="35">
        <f>X84*0.1</f>
        <v>26158.378125000007</v>
      </c>
      <c r="Z84" s="26">
        <f>SUM(N84+P84)</f>
        <v>0</v>
      </c>
      <c r="AA84" s="26">
        <f t="shared" si="116"/>
        <v>0</v>
      </c>
      <c r="AB84" s="26">
        <f t="shared" ref="AB84:AB85" si="152">SUM(R84)</f>
        <v>20</v>
      </c>
      <c r="AC84" s="42">
        <f t="shared" ref="AC84:AC85" si="153">L84*0.3/16*AB84</f>
        <v>78475.134375000009</v>
      </c>
      <c r="AD84" s="42">
        <f t="shared" ref="AD84:AD85" si="154">SUM(R84)</f>
        <v>20</v>
      </c>
      <c r="AE84" s="34"/>
      <c r="AF84" s="42">
        <f t="shared" si="42"/>
        <v>0</v>
      </c>
      <c r="AG84" s="42"/>
      <c r="AH84" s="130">
        <v>7.5</v>
      </c>
      <c r="AI84" s="133"/>
      <c r="AJ84" s="36">
        <f>SUM(17697/16*0.4*AH84)</f>
        <v>3318.1875</v>
      </c>
      <c r="AK84" s="36">
        <f>SUM(17697/16*0.5*AI84)</f>
        <v>0</v>
      </c>
      <c r="AL84" s="133"/>
      <c r="AM84" s="133"/>
      <c r="AN84" s="26">
        <f>SUM($I$35*AL84)*0.5</f>
        <v>0</v>
      </c>
      <c r="AO84" s="26">
        <f>SUM($I$35*AM84)*0.6</f>
        <v>0</v>
      </c>
      <c r="AP84" s="26"/>
      <c r="AQ84" s="26"/>
      <c r="AR84" s="26">
        <f>SUM($I$35*AQ84)</f>
        <v>0</v>
      </c>
      <c r="AS84" s="26"/>
      <c r="AT84" s="209">
        <f>SUM($I$35*AS84)</f>
        <v>0</v>
      </c>
      <c r="AU84" s="215"/>
      <c r="AV84" s="36">
        <f>SUM($I$35*AU84)</f>
        <v>0</v>
      </c>
      <c r="AW84" s="211"/>
      <c r="AX84" s="37">
        <f t="shared" si="25"/>
        <v>369535.48125000007</v>
      </c>
    </row>
    <row r="85" spans="1:50" s="17" customFormat="1" ht="34.5" x14ac:dyDescent="0.2">
      <c r="A85" s="16">
        <v>34</v>
      </c>
      <c r="B85" s="226" t="s">
        <v>267</v>
      </c>
      <c r="C85" s="116" t="s">
        <v>84</v>
      </c>
      <c r="D85" s="116" t="s">
        <v>10</v>
      </c>
      <c r="E85" s="116" t="s">
        <v>109</v>
      </c>
      <c r="F85" s="29" t="s">
        <v>26</v>
      </c>
      <c r="G85" s="124">
        <v>4.49</v>
      </c>
      <c r="H85" s="116">
        <v>13.11</v>
      </c>
      <c r="I85" s="42">
        <f>17697*G85</f>
        <v>79459.53</v>
      </c>
      <c r="J85" s="42">
        <f>I85*0.25</f>
        <v>19864.8825</v>
      </c>
      <c r="K85" s="42">
        <f>(I85+J85)*1</f>
        <v>99324.412500000006</v>
      </c>
      <c r="L85" s="42">
        <f>(I85+J85)*2</f>
        <v>198648.82500000001</v>
      </c>
      <c r="M85" s="26"/>
      <c r="N85" s="26"/>
      <c r="O85" s="26">
        <v>11</v>
      </c>
      <c r="P85" s="26"/>
      <c r="Q85" s="26">
        <v>9</v>
      </c>
      <c r="R85" s="40">
        <f>SUM(M85:Q85)</f>
        <v>20</v>
      </c>
      <c r="S85" s="34">
        <f t="shared" si="65"/>
        <v>0</v>
      </c>
      <c r="T85" s="34">
        <f t="shared" si="149"/>
        <v>0</v>
      </c>
      <c r="U85" s="34">
        <f t="shared" si="150"/>
        <v>136571.06718750001</v>
      </c>
      <c r="V85" s="34">
        <f t="shared" si="151"/>
        <v>0</v>
      </c>
      <c r="W85" s="34">
        <f>Q85/16*L85</f>
        <v>111739.9640625</v>
      </c>
      <c r="X85" s="34">
        <f>SUM(S85:W85)</f>
        <v>248311.03125</v>
      </c>
      <c r="Y85" s="35">
        <f>X85*0.1</f>
        <v>24831.103125000001</v>
      </c>
      <c r="Z85" s="26"/>
      <c r="AA85" s="26"/>
      <c r="AB85" s="26">
        <f t="shared" si="152"/>
        <v>20</v>
      </c>
      <c r="AC85" s="42">
        <f t="shared" si="153"/>
        <v>74493.309374999997</v>
      </c>
      <c r="AD85" s="42">
        <f t="shared" si="154"/>
        <v>20</v>
      </c>
      <c r="AE85" s="34">
        <v>35</v>
      </c>
      <c r="AF85" s="42">
        <f t="shared" si="42"/>
        <v>86908.860937499994</v>
      </c>
      <c r="AG85" s="42"/>
      <c r="AH85" s="130">
        <v>13</v>
      </c>
      <c r="AI85" s="133"/>
      <c r="AJ85" s="36">
        <f>SUM(17697/16*0.4*AH85)</f>
        <v>5751.5250000000005</v>
      </c>
      <c r="AK85" s="36"/>
      <c r="AL85" s="133"/>
      <c r="AM85" s="133">
        <v>1</v>
      </c>
      <c r="AN85" s="26">
        <f>SUM($I$35*AL85)*0.5</f>
        <v>0</v>
      </c>
      <c r="AO85" s="26">
        <f>SUM($I$35*AM85)*0.6</f>
        <v>10618.199999999999</v>
      </c>
      <c r="AP85" s="26"/>
      <c r="AQ85" s="26"/>
      <c r="AR85" s="26"/>
      <c r="AS85" s="26"/>
      <c r="AT85" s="209"/>
      <c r="AU85" s="215"/>
      <c r="AV85" s="36"/>
      <c r="AW85" s="211"/>
      <c r="AX85" s="37">
        <f t="shared" si="25"/>
        <v>450914.02968750003</v>
      </c>
    </row>
    <row r="86" spans="1:50" s="17" customFormat="1" ht="34.5" x14ac:dyDescent="0.2">
      <c r="A86" s="16">
        <v>35</v>
      </c>
      <c r="B86" s="226" t="s">
        <v>268</v>
      </c>
      <c r="C86" s="116" t="s">
        <v>269</v>
      </c>
      <c r="D86" s="116" t="s">
        <v>10</v>
      </c>
      <c r="E86" s="116" t="s">
        <v>192</v>
      </c>
      <c r="F86" s="29" t="s">
        <v>26</v>
      </c>
      <c r="G86" s="124">
        <v>4.0999999999999996</v>
      </c>
      <c r="H86" s="116" t="s">
        <v>216</v>
      </c>
      <c r="I86" s="42">
        <f>17697*G86</f>
        <v>72557.7</v>
      </c>
      <c r="J86" s="42">
        <f>I86*0.25</f>
        <v>18139.424999999999</v>
      </c>
      <c r="K86" s="42">
        <f>(I86+J86)*1</f>
        <v>90697.125</v>
      </c>
      <c r="L86" s="42">
        <f>(I86+J86)*2</f>
        <v>181394.25</v>
      </c>
      <c r="M86" s="26"/>
      <c r="N86" s="26"/>
      <c r="O86" s="26">
        <v>9</v>
      </c>
      <c r="P86" s="26"/>
      <c r="Q86" s="26"/>
      <c r="R86" s="40">
        <f>SUM(M86:Q86)</f>
        <v>9</v>
      </c>
      <c r="S86" s="34">
        <f t="shared" si="65"/>
        <v>0</v>
      </c>
      <c r="T86" s="34">
        <f t="shared" si="149"/>
        <v>0</v>
      </c>
      <c r="U86" s="34">
        <f t="shared" si="150"/>
        <v>102034.265625</v>
      </c>
      <c r="V86" s="34">
        <f t="shared" si="151"/>
        <v>0</v>
      </c>
      <c r="W86" s="34">
        <f>Q86/16*L86</f>
        <v>0</v>
      </c>
      <c r="X86" s="34">
        <f>SUM(S86:W86)</f>
        <v>102034.265625</v>
      </c>
      <c r="Y86" s="35">
        <f>X86*0.1</f>
        <v>10203.426562500001</v>
      </c>
      <c r="Z86" s="26"/>
      <c r="AA86" s="26"/>
      <c r="AB86" s="26">
        <f t="shared" ref="AB86" si="155">SUM(R86)</f>
        <v>9</v>
      </c>
      <c r="AC86" s="42">
        <f t="shared" ref="AC86:AC87" si="156">L86*0.3/16*AB86</f>
        <v>30610.279687500002</v>
      </c>
      <c r="AD86" s="42">
        <f t="shared" ref="AD86:AD87" si="157">SUM(R86)</f>
        <v>9</v>
      </c>
      <c r="AE86" s="34"/>
      <c r="AF86" s="42">
        <f t="shared" ref="AF86:AF87" si="158">(L86*AE86/100)/16*AD86</f>
        <v>0</v>
      </c>
      <c r="AG86" s="42"/>
      <c r="AH86" s="130">
        <v>6</v>
      </c>
      <c r="AI86" s="133"/>
      <c r="AJ86" s="36">
        <f>SUM(17697/16*0.4*AH86)</f>
        <v>2654.55</v>
      </c>
      <c r="AK86" s="36"/>
      <c r="AL86" s="133"/>
      <c r="AM86" s="133"/>
      <c r="AN86" s="26"/>
      <c r="AO86" s="26"/>
      <c r="AP86" s="26"/>
      <c r="AQ86" s="26"/>
      <c r="AR86" s="26"/>
      <c r="AS86" s="26"/>
      <c r="AT86" s="209"/>
      <c r="AU86" s="215"/>
      <c r="AV86" s="36"/>
      <c r="AW86" s="211"/>
      <c r="AX86" s="37">
        <f t="shared" si="25"/>
        <v>145502.52187499998</v>
      </c>
    </row>
    <row r="87" spans="1:50" s="17" customFormat="1" ht="34.5" x14ac:dyDescent="0.2">
      <c r="A87" s="242"/>
      <c r="B87" s="218" t="s">
        <v>185</v>
      </c>
      <c r="C87" s="116" t="s">
        <v>180</v>
      </c>
      <c r="D87" s="116"/>
      <c r="E87" s="116"/>
      <c r="F87" s="30" t="s">
        <v>24</v>
      </c>
      <c r="G87" s="124">
        <v>5.2</v>
      </c>
      <c r="H87" s="126"/>
      <c r="I87" s="42">
        <f t="shared" ref="I87" si="159">17697*G87</f>
        <v>92024.400000000009</v>
      </c>
      <c r="J87" s="42">
        <f t="shared" ref="J87" si="160">I87*0.25</f>
        <v>23006.100000000002</v>
      </c>
      <c r="K87" s="42">
        <f t="shared" ref="K87" si="161">(I87+J87)*1</f>
        <v>115030.50000000001</v>
      </c>
      <c r="L87" s="42">
        <f t="shared" ref="L87" si="162">(I87+J87)*2</f>
        <v>230061.00000000003</v>
      </c>
      <c r="M87" s="26">
        <v>3</v>
      </c>
      <c r="N87" s="26"/>
      <c r="O87" s="129">
        <v>5.5</v>
      </c>
      <c r="P87" s="129"/>
      <c r="Q87" s="129">
        <v>2</v>
      </c>
      <c r="R87" s="40">
        <f t="shared" ref="R87" si="163">SUM(M87:Q87)</f>
        <v>10.5</v>
      </c>
      <c r="S87" s="34">
        <f t="shared" si="65"/>
        <v>43136.437500000007</v>
      </c>
      <c r="T87" s="34">
        <f t="shared" si="149"/>
        <v>0</v>
      </c>
      <c r="U87" s="34">
        <f t="shared" si="150"/>
        <v>79083.468750000015</v>
      </c>
      <c r="V87" s="34">
        <f t="shared" si="151"/>
        <v>0</v>
      </c>
      <c r="W87" s="34">
        <f t="shared" ref="W87" si="164">Q87/16*L87</f>
        <v>28757.625000000004</v>
      </c>
      <c r="X87" s="34">
        <f t="shared" ref="X87" si="165">SUM(S87:W87)</f>
        <v>150977.53125000003</v>
      </c>
      <c r="Y87" s="35">
        <f t="shared" ref="Y87" si="166">X87*0.1</f>
        <v>15097.753125000003</v>
      </c>
      <c r="Z87" s="26">
        <f t="shared" ref="Z87" si="167">SUM(N87+P87)</f>
        <v>0</v>
      </c>
      <c r="AA87" s="26">
        <f t="shared" ref="AA87" si="168">SUM(($I$35/16)*Z87)*0.4</f>
        <v>0</v>
      </c>
      <c r="AB87" s="26">
        <f t="shared" ref="AB87" si="169">SUM(R87)</f>
        <v>10.5</v>
      </c>
      <c r="AC87" s="42">
        <f t="shared" si="156"/>
        <v>45293.259375000001</v>
      </c>
      <c r="AD87" s="42">
        <f t="shared" si="157"/>
        <v>10.5</v>
      </c>
      <c r="AE87" s="34"/>
      <c r="AF87" s="42">
        <f t="shared" si="158"/>
        <v>0</v>
      </c>
      <c r="AG87" s="42"/>
      <c r="AH87" s="130"/>
      <c r="AI87" s="133"/>
      <c r="AJ87" s="36"/>
      <c r="AK87" s="36"/>
      <c r="AL87" s="133"/>
      <c r="AM87" s="133"/>
      <c r="AN87" s="26"/>
      <c r="AO87" s="26"/>
      <c r="AP87" s="26"/>
      <c r="AQ87" s="26"/>
      <c r="AR87" s="26"/>
      <c r="AS87" s="26"/>
      <c r="AT87" s="209"/>
      <c r="AU87" s="215"/>
      <c r="AV87" s="36">
        <f>SUM($I$35*AU87)</f>
        <v>0</v>
      </c>
      <c r="AW87" s="211"/>
      <c r="AX87" s="37">
        <f t="shared" si="25"/>
        <v>211368.54375000004</v>
      </c>
    </row>
    <row r="88" spans="1:50" s="17" customFormat="1" ht="34.5" x14ac:dyDescent="0.2">
      <c r="A88" s="16"/>
      <c r="B88" s="204" t="s">
        <v>226</v>
      </c>
      <c r="C88" s="121" t="s">
        <v>27</v>
      </c>
      <c r="D88" s="116" t="s">
        <v>10</v>
      </c>
      <c r="E88" s="27"/>
      <c r="F88" s="108" t="s">
        <v>222</v>
      </c>
      <c r="G88" s="125">
        <v>4.0999999999999996</v>
      </c>
      <c r="H88" s="116"/>
      <c r="I88" s="42">
        <f t="shared" si="14"/>
        <v>72557.7</v>
      </c>
      <c r="J88" s="42">
        <f t="shared" si="15"/>
        <v>18139.424999999999</v>
      </c>
      <c r="K88" s="42">
        <f t="shared" si="16"/>
        <v>90697.125</v>
      </c>
      <c r="L88" s="42">
        <f t="shared" si="17"/>
        <v>181394.25</v>
      </c>
      <c r="M88" s="26"/>
      <c r="N88" s="26"/>
      <c r="O88" s="26"/>
      <c r="P88" s="26"/>
      <c r="Q88" s="26">
        <v>3</v>
      </c>
      <c r="R88" s="40">
        <f t="shared" si="18"/>
        <v>3</v>
      </c>
      <c r="S88" s="34">
        <f t="shared" si="65"/>
        <v>0</v>
      </c>
      <c r="T88" s="34">
        <f t="shared" si="6"/>
        <v>0</v>
      </c>
      <c r="U88" s="34">
        <f t="shared" si="7"/>
        <v>0</v>
      </c>
      <c r="V88" s="34">
        <f t="shared" si="8"/>
        <v>0</v>
      </c>
      <c r="W88" s="34">
        <f t="shared" si="110"/>
        <v>34011.421875</v>
      </c>
      <c r="X88" s="34">
        <f t="shared" ref="X88" si="170">SUM(S88:W88)</f>
        <v>34011.421875</v>
      </c>
      <c r="Y88" s="35">
        <f t="shared" ref="Y88" si="171">X88*0.1</f>
        <v>3401.1421875000001</v>
      </c>
      <c r="Z88" s="26">
        <v>0</v>
      </c>
      <c r="AA88" s="26">
        <f t="shared" si="116"/>
        <v>0</v>
      </c>
      <c r="AB88" s="26">
        <f t="shared" ref="AB88" si="172">SUM(R88)</f>
        <v>3</v>
      </c>
      <c r="AC88" s="42">
        <f t="shared" ref="AC88" si="173">L88*0.3/16*AB88</f>
        <v>10203.426562500001</v>
      </c>
      <c r="AD88" s="42">
        <f t="shared" si="115"/>
        <v>3</v>
      </c>
      <c r="AE88" s="34"/>
      <c r="AF88" s="42">
        <f t="shared" si="42"/>
        <v>0</v>
      </c>
      <c r="AG88" s="48"/>
      <c r="AH88" s="132"/>
      <c r="AI88" s="26"/>
      <c r="AJ88" s="36">
        <f t="shared" ref="AJ88" si="174">SUM(17697/16*0.4*AH88)</f>
        <v>0</v>
      </c>
      <c r="AK88" s="36">
        <f t="shared" ref="AK88" si="175">SUM(17697/16*0.5*AI88)</f>
        <v>0</v>
      </c>
      <c r="AL88" s="133"/>
      <c r="AM88" s="133"/>
      <c r="AN88" s="26">
        <f>SUM($I$35*AL88)*0.5</f>
        <v>0</v>
      </c>
      <c r="AO88" s="26">
        <f>SUM($I$35*AM88)*0.6</f>
        <v>0</v>
      </c>
      <c r="AP88" s="26"/>
      <c r="AQ88" s="26"/>
      <c r="AR88" s="26">
        <f>SUM($I$35*AQ88)</f>
        <v>0</v>
      </c>
      <c r="AS88" s="26"/>
      <c r="AT88" s="209">
        <f>SUM($I$35*AS88)</f>
        <v>0</v>
      </c>
      <c r="AU88" s="215"/>
      <c r="AV88" s="36">
        <f>SUM($I$35*AU88)</f>
        <v>0</v>
      </c>
      <c r="AW88" s="211"/>
      <c r="AX88" s="37">
        <f t="shared" si="25"/>
        <v>47615.990625000006</v>
      </c>
    </row>
    <row r="89" spans="1:50" s="14" customFormat="1" ht="34.5" customHeight="1" x14ac:dyDescent="0.25">
      <c r="A89" s="16"/>
      <c r="B89" s="40" t="s">
        <v>8</v>
      </c>
      <c r="C89" s="26"/>
      <c r="D89" s="26"/>
      <c r="E89" s="33"/>
      <c r="F89" s="31"/>
      <c r="G89" s="31"/>
      <c r="H89" s="38"/>
      <c r="I89" s="34">
        <f t="shared" ref="I89:AX89" si="176">SUM(I43:I88)</f>
        <v>3716546.9699999988</v>
      </c>
      <c r="J89" s="34">
        <f t="shared" si="176"/>
        <v>929136.7424999997</v>
      </c>
      <c r="K89" s="34">
        <f t="shared" si="176"/>
        <v>4645683.7125000022</v>
      </c>
      <c r="L89" s="34">
        <f t="shared" si="176"/>
        <v>9291367.4250000045</v>
      </c>
      <c r="M89" s="34">
        <f t="shared" si="176"/>
        <v>205</v>
      </c>
      <c r="N89" s="34">
        <f t="shared" si="176"/>
        <v>0</v>
      </c>
      <c r="O89" s="34">
        <f t="shared" si="176"/>
        <v>348</v>
      </c>
      <c r="P89" s="34">
        <f t="shared" si="176"/>
        <v>15</v>
      </c>
      <c r="Q89" s="34">
        <f t="shared" si="176"/>
        <v>106</v>
      </c>
      <c r="R89" s="34">
        <f t="shared" si="176"/>
        <v>674</v>
      </c>
      <c r="S89" s="34">
        <f t="shared" si="176"/>
        <v>2565041.8921875004</v>
      </c>
      <c r="T89" s="34">
        <f t="shared" si="176"/>
        <v>0</v>
      </c>
      <c r="U89" s="34">
        <f t="shared" si="176"/>
        <v>4441172.7562500006</v>
      </c>
      <c r="V89" s="34">
        <f t="shared" si="176"/>
        <v>191072.296875</v>
      </c>
      <c r="W89" s="34">
        <f t="shared" si="176"/>
        <v>1309826.8640625</v>
      </c>
      <c r="X89" s="34">
        <f t="shared" si="176"/>
        <v>8507113.8093750011</v>
      </c>
      <c r="Y89" s="34">
        <f t="shared" si="176"/>
        <v>850711.38093750016</v>
      </c>
      <c r="Z89" s="34">
        <f t="shared" si="176"/>
        <v>15</v>
      </c>
      <c r="AA89" s="34">
        <f t="shared" si="176"/>
        <v>6636.375</v>
      </c>
      <c r="AB89" s="34">
        <f t="shared" si="176"/>
        <v>671</v>
      </c>
      <c r="AC89" s="34">
        <f t="shared" si="176"/>
        <v>2560761.4303125017</v>
      </c>
      <c r="AD89" s="34">
        <f t="shared" si="176"/>
        <v>665.5</v>
      </c>
      <c r="AE89" s="34">
        <f t="shared" si="176"/>
        <v>1055</v>
      </c>
      <c r="AF89" s="34">
        <f t="shared" si="176"/>
        <v>2085442.1315625003</v>
      </c>
      <c r="AG89" s="34">
        <f t="shared" si="176"/>
        <v>0</v>
      </c>
      <c r="AH89" s="34">
        <f t="shared" si="176"/>
        <v>178</v>
      </c>
      <c r="AI89" s="34">
        <f t="shared" si="176"/>
        <v>112</v>
      </c>
      <c r="AJ89" s="34">
        <f t="shared" si="176"/>
        <v>78751.650000000009</v>
      </c>
      <c r="AK89" s="34">
        <f t="shared" si="176"/>
        <v>61939.5</v>
      </c>
      <c r="AL89" s="34">
        <f t="shared" si="176"/>
        <v>6</v>
      </c>
      <c r="AM89" s="34">
        <f t="shared" si="176"/>
        <v>9</v>
      </c>
      <c r="AN89" s="34">
        <f t="shared" si="176"/>
        <v>53091</v>
      </c>
      <c r="AO89" s="34">
        <f t="shared" si="176"/>
        <v>95563.799999999988</v>
      </c>
      <c r="AP89" s="34">
        <f t="shared" si="176"/>
        <v>0</v>
      </c>
      <c r="AQ89" s="34">
        <f t="shared" si="176"/>
        <v>10</v>
      </c>
      <c r="AR89" s="34">
        <f t="shared" si="176"/>
        <v>36920</v>
      </c>
      <c r="AS89" s="34">
        <f t="shared" si="176"/>
        <v>2</v>
      </c>
      <c r="AT89" s="34">
        <f t="shared" si="176"/>
        <v>35394</v>
      </c>
      <c r="AU89" s="34">
        <f t="shared" si="176"/>
        <v>1</v>
      </c>
      <c r="AV89" s="34">
        <f t="shared" si="176"/>
        <v>17697</v>
      </c>
      <c r="AW89" s="34">
        <f t="shared" si="176"/>
        <v>0</v>
      </c>
      <c r="AX89" s="34">
        <f t="shared" si="176"/>
        <v>14390022.077187497</v>
      </c>
    </row>
    <row r="90" spans="1:50" s="3" customFormat="1" ht="33.75" customHeight="1" x14ac:dyDescent="0.45">
      <c r="A90" s="13"/>
      <c r="B90" s="148" t="s">
        <v>227</v>
      </c>
      <c r="C90" s="148"/>
      <c r="D90" s="148"/>
      <c r="E90" s="148" t="s">
        <v>241</v>
      </c>
      <c r="F90" s="148"/>
      <c r="G90" s="149"/>
      <c r="H90" s="148"/>
      <c r="I90" s="148"/>
      <c r="J90" s="148"/>
      <c r="K90" s="148"/>
      <c r="M90" s="148"/>
      <c r="N90" s="148"/>
      <c r="P90" s="148"/>
      <c r="Q90" s="148"/>
      <c r="W90" s="15"/>
      <c r="Y90" s="15"/>
      <c r="Z90" s="15"/>
      <c r="AA90" s="15"/>
      <c r="AB90" s="15"/>
      <c r="AD90" s="15"/>
      <c r="AE90" s="19"/>
      <c r="AF90" s="19"/>
      <c r="AG90" s="15"/>
      <c r="AH90" s="14"/>
      <c r="AI90" s="14"/>
      <c r="AJ90" s="15"/>
      <c r="AK90" s="15"/>
      <c r="AL90" s="15"/>
      <c r="AM90" s="15"/>
      <c r="AN90" s="15"/>
      <c r="AO90" s="51"/>
    </row>
    <row r="91" spans="1:50" s="3" customFormat="1" ht="34.5" hidden="1" x14ac:dyDescent="0.45">
      <c r="A91" s="6"/>
      <c r="B91" s="148" t="s">
        <v>228</v>
      </c>
      <c r="C91" s="148"/>
      <c r="D91" s="148"/>
      <c r="E91" s="227" t="s">
        <v>229</v>
      </c>
      <c r="F91" s="227"/>
      <c r="G91" s="149"/>
      <c r="H91" s="148"/>
      <c r="I91" s="148"/>
      <c r="J91" s="148" t="s">
        <v>230</v>
      </c>
      <c r="K91" s="148"/>
      <c r="L91" s="148" t="s">
        <v>235</v>
      </c>
      <c r="M91" s="148"/>
      <c r="N91" s="148"/>
      <c r="O91" s="148"/>
      <c r="P91" s="148"/>
      <c r="Q91" s="148"/>
      <c r="R91" s="147"/>
      <c r="S91" s="148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2"/>
      <c r="AF91" s="12"/>
      <c r="AG91" s="12"/>
      <c r="AH91" s="8"/>
      <c r="AI91" s="8"/>
      <c r="AJ91" s="11"/>
      <c r="AK91" s="11"/>
      <c r="AL91" s="11"/>
      <c r="AM91" s="11"/>
      <c r="AN91" s="11"/>
      <c r="AO91" s="11"/>
    </row>
    <row r="92" spans="1:50" ht="35.25" x14ac:dyDescent="0.5">
      <c r="A92" s="4"/>
      <c r="B92" s="148" t="s">
        <v>230</v>
      </c>
      <c r="C92" s="148"/>
      <c r="D92" s="148" t="s">
        <v>236</v>
      </c>
      <c r="E92" s="148"/>
      <c r="F92" s="23"/>
      <c r="G92" s="23"/>
      <c r="H92" s="23"/>
      <c r="I92" s="5"/>
      <c r="J92" s="15" t="s">
        <v>45</v>
      </c>
      <c r="K92" s="5"/>
      <c r="L92" s="5"/>
      <c r="M92" s="141" t="s">
        <v>108</v>
      </c>
      <c r="N92" s="4"/>
      <c r="O92" s="4"/>
      <c r="P92" s="4"/>
      <c r="Q92" s="4"/>
      <c r="R92" s="148" t="s">
        <v>231</v>
      </c>
      <c r="S92" s="148"/>
      <c r="T92" s="15"/>
      <c r="U92" s="227" t="s">
        <v>232</v>
      </c>
      <c r="V92" s="15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</row>
    <row r="93" spans="1:50" ht="35.25" x14ac:dyDescent="0.5">
      <c r="B93" s="4"/>
      <c r="X93" s="1">
        <f>659/16</f>
        <v>41.1875</v>
      </c>
    </row>
  </sheetData>
  <mergeCells count="65">
    <mergeCell ref="A50:A51"/>
    <mergeCell ref="M33:R33"/>
    <mergeCell ref="AN42:AO42"/>
    <mergeCell ref="AD2:AO2"/>
    <mergeCell ref="AD3:AO3"/>
    <mergeCell ref="AD4:AO4"/>
    <mergeCell ref="AD5:AO5"/>
    <mergeCell ref="AD6:AO7"/>
    <mergeCell ref="G4:O4"/>
    <mergeCell ref="T4:V4"/>
    <mergeCell ref="AD22:AO22"/>
    <mergeCell ref="AD23:AO23"/>
    <mergeCell ref="AD24:AO24"/>
    <mergeCell ref="AD9:AO9"/>
    <mergeCell ref="AD10:AO10"/>
    <mergeCell ref="Y41:Y42"/>
    <mergeCell ref="AQ6:AQ7"/>
    <mergeCell ref="AR6:AR7"/>
    <mergeCell ref="AS6:AS7"/>
    <mergeCell ref="AB6:AB7"/>
    <mergeCell ref="AD21:AO21"/>
    <mergeCell ref="AD13:AO13"/>
    <mergeCell ref="AD16:AO16"/>
    <mergeCell ref="AD17:AO17"/>
    <mergeCell ref="AD18:AO18"/>
    <mergeCell ref="AD19:AO19"/>
    <mergeCell ref="AD20:AO20"/>
    <mergeCell ref="AD8:AO8"/>
    <mergeCell ref="AP6:AP7"/>
    <mergeCell ref="AD14:AO14"/>
    <mergeCell ref="AC6:AC7"/>
    <mergeCell ref="AD11:AO11"/>
    <mergeCell ref="A41:A42"/>
    <mergeCell ref="H41:H42"/>
    <mergeCell ref="K41:K42"/>
    <mergeCell ref="B41:B42"/>
    <mergeCell ref="C41:C42"/>
    <mergeCell ref="D41:D42"/>
    <mergeCell ref="I41:I42"/>
    <mergeCell ref="E41:E42"/>
    <mergeCell ref="J41:J42"/>
    <mergeCell ref="F41:F42"/>
    <mergeCell ref="G41:G42"/>
    <mergeCell ref="L41:L42"/>
    <mergeCell ref="AB41:AC41"/>
    <mergeCell ref="AD31:AO31"/>
    <mergeCell ref="AG41:AG42"/>
    <mergeCell ref="M41:R41"/>
    <mergeCell ref="S41:V41"/>
    <mergeCell ref="X41:X42"/>
    <mergeCell ref="AB32:AO32"/>
    <mergeCell ref="AD41:AF41"/>
    <mergeCell ref="AH41:AK41"/>
    <mergeCell ref="AD12:AO12"/>
    <mergeCell ref="AD15:AO15"/>
    <mergeCell ref="AX41:AX42"/>
    <mergeCell ref="AS42:AT42"/>
    <mergeCell ref="AD26:AO26"/>
    <mergeCell ref="AD27:AO27"/>
    <mergeCell ref="AD28:AO28"/>
    <mergeCell ref="AD29:AO29"/>
    <mergeCell ref="AD30:AO30"/>
    <mergeCell ref="AU42:AV42"/>
    <mergeCell ref="AQ42:AR42"/>
    <mergeCell ref="AD25:AO25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27" firstPageNumber="0" orientation="landscape" horizontalDpi="300" verticalDpi="300" r:id="rId1"/>
  <headerFooter alignWithMargins="0"/>
  <rowBreaks count="1" manualBreakCount="1">
    <brk id="46" max="51" man="1"/>
  </rowBreaks>
  <colBreaks count="1" manualBreakCount="1">
    <brk id="33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9"/>
  <sheetViews>
    <sheetView view="pageBreakPreview" topLeftCell="A35" zoomScale="82" zoomScaleNormal="100" zoomScaleSheetLayoutView="82" workbookViewId="0">
      <pane xSplit="2" topLeftCell="C1" activePane="topRight" state="frozen"/>
      <selection activeCell="A26" sqref="A26"/>
      <selection pane="topRight" activeCell="AX43" sqref="AX43:AX44"/>
    </sheetView>
  </sheetViews>
  <sheetFormatPr defaultRowHeight="18" x14ac:dyDescent="0.25"/>
  <cols>
    <col min="1" max="1" width="5.42578125" style="1" customWidth="1"/>
    <col min="2" max="2" width="34.5703125" style="1" customWidth="1"/>
    <col min="3" max="3" width="20" style="1" customWidth="1"/>
    <col min="4" max="4" width="14" style="1" customWidth="1"/>
    <col min="5" max="5" width="21.42578125" style="20" customWidth="1"/>
    <col min="6" max="6" width="10.140625" style="20" customWidth="1"/>
    <col min="7" max="7" width="9" style="20" customWidth="1"/>
    <col min="8" max="8" width="11.140625" style="20" customWidth="1"/>
    <col min="9" max="12" width="14.85546875" style="2" customWidth="1"/>
    <col min="13" max="13" width="10.28515625" style="1" customWidth="1"/>
    <col min="14" max="14" width="7.7109375" style="1" customWidth="1"/>
    <col min="15" max="15" width="10.140625" style="1" customWidth="1"/>
    <col min="16" max="16" width="8.140625" style="1" customWidth="1"/>
    <col min="17" max="17" width="11.140625" style="1" customWidth="1"/>
    <col min="18" max="18" width="14.140625" style="1" customWidth="1"/>
    <col min="19" max="20" width="15.28515625" style="1" customWidth="1"/>
    <col min="21" max="23" width="14.7109375" style="1" customWidth="1"/>
    <col min="24" max="24" width="15.5703125" style="1" customWidth="1"/>
    <col min="25" max="25" width="14.7109375" style="1" customWidth="1"/>
    <col min="26" max="26" width="12" style="1" customWidth="1"/>
    <col min="27" max="27" width="15.28515625" style="1" customWidth="1"/>
    <col min="28" max="28" width="14.42578125" style="1" customWidth="1"/>
    <col min="29" max="29" width="17" style="1" customWidth="1"/>
    <col min="30" max="30" width="12" style="1" customWidth="1"/>
    <col min="31" max="32" width="13.5703125" style="1" customWidth="1"/>
    <col min="33" max="33" width="13" style="1" customWidth="1"/>
    <col min="34" max="35" width="15" style="1" customWidth="1"/>
    <col min="36" max="36" width="14.28515625" style="1" customWidth="1"/>
    <col min="37" max="37" width="13.7109375" style="1" customWidth="1"/>
    <col min="38" max="38" width="12.5703125" style="1" customWidth="1"/>
    <col min="39" max="39" width="13" style="1" customWidth="1"/>
    <col min="40" max="40" width="13.42578125" style="1" customWidth="1"/>
    <col min="41" max="41" width="17.5703125" style="1" customWidth="1"/>
    <col min="42" max="42" width="10.42578125" style="1" customWidth="1"/>
    <col min="43" max="43" width="14.28515625" style="1" bestFit="1" customWidth="1"/>
    <col min="44" max="44" width="12.28515625" style="1" customWidth="1"/>
    <col min="45" max="45" width="14.5703125" style="1" customWidth="1"/>
    <col min="46" max="46" width="15.85546875" style="1" customWidth="1"/>
    <col min="47" max="47" width="11.42578125" style="1" customWidth="1"/>
    <col min="48" max="48" width="15.85546875" style="1" customWidth="1"/>
    <col min="49" max="49" width="9.140625" style="1" customWidth="1"/>
    <col min="50" max="50" width="17.42578125" style="1" customWidth="1"/>
    <col min="51" max="16384" width="9.140625" style="1"/>
  </cols>
  <sheetData>
    <row r="1" spans="1:46" s="55" customFormat="1" ht="33.75" customHeight="1" thickBot="1" x14ac:dyDescent="0.45">
      <c r="A1" s="52"/>
      <c r="B1" s="52"/>
      <c r="C1" s="52"/>
      <c r="D1" s="52"/>
      <c r="E1" s="52"/>
      <c r="F1" s="52"/>
      <c r="G1" s="52"/>
      <c r="H1" s="52"/>
      <c r="I1" s="53"/>
      <c r="J1" s="52"/>
      <c r="K1" s="54"/>
      <c r="L1" s="54"/>
      <c r="R1" s="56"/>
      <c r="S1" s="52"/>
      <c r="T1" s="52"/>
      <c r="U1" s="57"/>
      <c r="V1" s="57"/>
      <c r="W1" s="57"/>
      <c r="X1" s="58"/>
      <c r="Y1" s="59"/>
      <c r="Z1" s="60"/>
      <c r="AA1" s="61"/>
      <c r="AB1" s="61"/>
      <c r="AC1" s="62"/>
      <c r="AD1" s="62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52"/>
      <c r="AQ1" s="52"/>
      <c r="AR1" s="61"/>
      <c r="AS1" s="61"/>
      <c r="AT1" s="52"/>
    </row>
    <row r="2" spans="1:46" s="55" customFormat="1" ht="33" customHeight="1" x14ac:dyDescent="0.45">
      <c r="A2" s="52"/>
      <c r="B2" s="231"/>
      <c r="C2" s="231"/>
      <c r="D2" s="231"/>
      <c r="E2" s="232"/>
      <c r="F2" s="232"/>
      <c r="G2" s="184" t="s">
        <v>171</v>
      </c>
      <c r="H2" s="184"/>
      <c r="I2" s="183"/>
      <c r="J2" s="187"/>
      <c r="K2" s="186"/>
      <c r="L2" s="183"/>
      <c r="M2" s="183"/>
      <c r="N2" s="183"/>
      <c r="O2" s="183"/>
      <c r="P2" s="183"/>
      <c r="Q2" s="183"/>
      <c r="R2" s="183" t="s">
        <v>170</v>
      </c>
      <c r="S2" s="183"/>
      <c r="T2" s="183"/>
      <c r="U2" s="183"/>
      <c r="V2" s="183"/>
      <c r="W2" s="183"/>
      <c r="X2" s="63"/>
      <c r="Y2" s="233"/>
      <c r="Z2" s="233"/>
      <c r="AA2" s="63"/>
      <c r="AB2" s="64" t="s">
        <v>46</v>
      </c>
      <c r="AC2" s="65"/>
      <c r="AD2" s="312" t="s">
        <v>47</v>
      </c>
      <c r="AE2" s="312"/>
      <c r="AF2" s="312"/>
      <c r="AG2" s="312"/>
      <c r="AH2" s="312"/>
      <c r="AI2" s="312"/>
      <c r="AJ2" s="312"/>
      <c r="AK2" s="312"/>
      <c r="AL2" s="313"/>
      <c r="AM2" s="312"/>
      <c r="AN2" s="312"/>
      <c r="AO2" s="312"/>
      <c r="AP2" s="66" t="s">
        <v>0</v>
      </c>
      <c r="AQ2" s="67" t="s">
        <v>1</v>
      </c>
      <c r="AR2" s="68" t="s">
        <v>2</v>
      </c>
      <c r="AS2" s="69" t="s">
        <v>48</v>
      </c>
    </row>
    <row r="3" spans="1:46" s="55" customFormat="1" ht="31.5" customHeight="1" x14ac:dyDescent="0.45">
      <c r="A3" s="52"/>
      <c r="B3" s="232"/>
      <c r="C3" s="232"/>
      <c r="D3" s="232"/>
      <c r="E3" s="232"/>
      <c r="F3" s="232"/>
      <c r="G3" s="184"/>
      <c r="H3" s="184"/>
      <c r="I3" s="183"/>
      <c r="J3" s="187"/>
      <c r="K3" s="186"/>
      <c r="L3" s="183"/>
      <c r="M3" s="183"/>
      <c r="N3" s="183"/>
      <c r="O3" s="183"/>
      <c r="P3" s="183"/>
      <c r="Q3" s="183"/>
      <c r="R3" s="183" t="s">
        <v>169</v>
      </c>
      <c r="S3" s="183"/>
      <c r="T3" s="183"/>
      <c r="U3" s="183"/>
      <c r="V3" s="183"/>
      <c r="W3" s="183"/>
      <c r="X3" s="234"/>
      <c r="Y3" s="234"/>
      <c r="Z3" s="234"/>
      <c r="AA3" s="136"/>
      <c r="AB3" s="70">
        <v>1</v>
      </c>
      <c r="AC3" s="70"/>
      <c r="AD3" s="314" t="s">
        <v>243</v>
      </c>
      <c r="AE3" s="315"/>
      <c r="AF3" s="315"/>
      <c r="AG3" s="315"/>
      <c r="AH3" s="315"/>
      <c r="AI3" s="315"/>
      <c r="AJ3" s="315"/>
      <c r="AK3" s="315"/>
      <c r="AL3" s="316"/>
      <c r="AM3" s="315"/>
      <c r="AN3" s="315"/>
      <c r="AO3" s="315"/>
      <c r="AP3" s="71">
        <v>8</v>
      </c>
      <c r="AQ3" s="72">
        <v>10</v>
      </c>
      <c r="AR3" s="73">
        <v>3</v>
      </c>
      <c r="AS3" s="74">
        <f>AR3+AQ3+AP3</f>
        <v>21</v>
      </c>
    </row>
    <row r="4" spans="1:46" s="55" customFormat="1" ht="49.5" customHeight="1" x14ac:dyDescent="0.45">
      <c r="A4" s="52"/>
      <c r="B4" s="232"/>
      <c r="C4" s="232"/>
      <c r="D4" s="232"/>
      <c r="E4" s="232"/>
      <c r="F4" s="232"/>
      <c r="G4" s="322" t="s">
        <v>209</v>
      </c>
      <c r="H4" s="323"/>
      <c r="I4" s="323"/>
      <c r="J4" s="323"/>
      <c r="K4" s="323"/>
      <c r="L4" s="323"/>
      <c r="M4" s="323"/>
      <c r="N4" s="323"/>
      <c r="O4" s="323"/>
      <c r="P4" s="183"/>
      <c r="Q4" s="183"/>
      <c r="R4" s="183" t="s">
        <v>168</v>
      </c>
      <c r="S4" s="183"/>
      <c r="T4" s="324"/>
      <c r="U4" s="324"/>
      <c r="V4" s="324"/>
      <c r="W4" s="229"/>
      <c r="X4" s="235"/>
      <c r="Y4" s="235"/>
      <c r="Z4" s="235"/>
      <c r="AA4" s="137"/>
      <c r="AB4" s="70">
        <v>2</v>
      </c>
      <c r="AC4" s="70"/>
      <c r="AD4" s="317" t="s">
        <v>244</v>
      </c>
      <c r="AE4" s="318"/>
      <c r="AF4" s="318"/>
      <c r="AG4" s="318"/>
      <c r="AH4" s="318"/>
      <c r="AI4" s="318"/>
      <c r="AJ4" s="318"/>
      <c r="AK4" s="318"/>
      <c r="AL4" s="258"/>
      <c r="AM4" s="318"/>
      <c r="AN4" s="318"/>
      <c r="AO4" s="318"/>
      <c r="AP4" s="75">
        <v>8</v>
      </c>
      <c r="AQ4" s="76">
        <v>10</v>
      </c>
      <c r="AR4" s="77">
        <v>3</v>
      </c>
      <c r="AS4" s="78">
        <f>SUM(AP4:AR4)</f>
        <v>21</v>
      </c>
    </row>
    <row r="5" spans="1:46" s="55" customFormat="1" ht="26.25" customHeight="1" x14ac:dyDescent="0.45">
      <c r="A5" s="52"/>
      <c r="B5" s="236"/>
      <c r="C5" s="236"/>
      <c r="D5" s="236"/>
      <c r="E5" s="236"/>
      <c r="F5" s="236"/>
      <c r="G5" s="184"/>
      <c r="H5" s="184"/>
      <c r="I5" s="183"/>
      <c r="J5" s="187"/>
      <c r="K5" s="186"/>
      <c r="L5" s="183"/>
      <c r="M5" s="183"/>
      <c r="N5" s="183"/>
      <c r="O5" s="183"/>
      <c r="P5" s="183"/>
      <c r="Q5" s="183"/>
      <c r="R5" s="143"/>
      <c r="S5" s="143"/>
      <c r="T5" s="143"/>
      <c r="U5" s="143"/>
      <c r="V5" s="143"/>
      <c r="W5" s="143"/>
      <c r="X5" s="233"/>
      <c r="Y5" s="235"/>
      <c r="Z5" s="235"/>
      <c r="AA5" s="137"/>
      <c r="AB5" s="70">
        <v>3</v>
      </c>
      <c r="AC5" s="70"/>
      <c r="AD5" s="317" t="s">
        <v>245</v>
      </c>
      <c r="AE5" s="318"/>
      <c r="AF5" s="318"/>
      <c r="AG5" s="318"/>
      <c r="AH5" s="318"/>
      <c r="AI5" s="318"/>
      <c r="AJ5" s="318"/>
      <c r="AK5" s="318"/>
      <c r="AL5" s="258"/>
      <c r="AM5" s="318"/>
      <c r="AN5" s="318"/>
      <c r="AO5" s="318"/>
      <c r="AP5" s="79">
        <v>122</v>
      </c>
      <c r="AQ5" s="80">
        <v>161</v>
      </c>
      <c r="AR5" s="81">
        <v>23</v>
      </c>
      <c r="AS5" s="82">
        <v>267</v>
      </c>
    </row>
    <row r="6" spans="1:46" s="55" customFormat="1" ht="30" customHeight="1" x14ac:dyDescent="0.45">
      <c r="A6" s="52"/>
      <c r="B6" s="232"/>
      <c r="C6" s="232"/>
      <c r="D6" s="232"/>
      <c r="E6" s="232"/>
      <c r="F6" s="232"/>
      <c r="G6" s="184" t="s">
        <v>167</v>
      </c>
      <c r="H6" s="179"/>
      <c r="I6" s="179"/>
      <c r="J6" s="184" t="s">
        <v>210</v>
      </c>
      <c r="K6" s="183"/>
      <c r="L6" s="183"/>
      <c r="M6" s="183"/>
      <c r="N6" s="183"/>
      <c r="O6" s="183"/>
      <c r="P6" s="183"/>
      <c r="Q6" s="183"/>
      <c r="R6" s="183" t="s">
        <v>242</v>
      </c>
      <c r="S6" s="183"/>
      <c r="T6" s="183" t="s">
        <v>165</v>
      </c>
      <c r="U6" s="183" t="s">
        <v>241</v>
      </c>
      <c r="V6" s="183"/>
      <c r="W6" s="183"/>
      <c r="X6" s="237"/>
      <c r="Y6" s="237"/>
      <c r="Z6" s="237"/>
      <c r="AA6" s="138"/>
      <c r="AB6" s="302">
        <v>4</v>
      </c>
      <c r="AC6" s="305"/>
      <c r="AD6" s="319" t="s">
        <v>49</v>
      </c>
      <c r="AE6" s="320"/>
      <c r="AF6" s="320"/>
      <c r="AG6" s="320"/>
      <c r="AH6" s="320"/>
      <c r="AI6" s="320"/>
      <c r="AJ6" s="320"/>
      <c r="AK6" s="320"/>
      <c r="AL6" s="321"/>
      <c r="AM6" s="320"/>
      <c r="AN6" s="320"/>
      <c r="AO6" s="320"/>
      <c r="AP6" s="299">
        <f>SUM(AP11+AP32)</f>
        <v>205</v>
      </c>
      <c r="AQ6" s="299">
        <f t="shared" ref="AQ6:AR6" si="0">SUM(AQ11+AQ32)</f>
        <v>363</v>
      </c>
      <c r="AR6" s="299">
        <f t="shared" si="0"/>
        <v>106</v>
      </c>
      <c r="AS6" s="300">
        <f>SUM(AP6:AR7)</f>
        <v>674</v>
      </c>
    </row>
    <row r="7" spans="1:46" s="55" customFormat="1" ht="30.75" customHeight="1" x14ac:dyDescent="0.45">
      <c r="A7" s="52"/>
      <c r="B7" s="232"/>
      <c r="C7" s="232"/>
      <c r="D7" s="232"/>
      <c r="E7" s="232"/>
      <c r="F7" s="232"/>
      <c r="G7" s="184"/>
      <c r="H7" s="184"/>
      <c r="I7" s="183"/>
      <c r="J7" s="187"/>
      <c r="K7" s="186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237"/>
      <c r="Y7" s="237"/>
      <c r="Z7" s="237"/>
      <c r="AA7" s="138"/>
      <c r="AB7" s="302"/>
      <c r="AC7" s="306"/>
      <c r="AD7" s="319"/>
      <c r="AE7" s="320"/>
      <c r="AF7" s="320"/>
      <c r="AG7" s="320"/>
      <c r="AH7" s="320"/>
      <c r="AI7" s="320"/>
      <c r="AJ7" s="320"/>
      <c r="AK7" s="320"/>
      <c r="AL7" s="321"/>
      <c r="AM7" s="320"/>
      <c r="AN7" s="320"/>
      <c r="AO7" s="320"/>
      <c r="AP7" s="299"/>
      <c r="AQ7" s="299"/>
      <c r="AR7" s="299"/>
      <c r="AS7" s="301"/>
    </row>
    <row r="8" spans="1:46" s="55" customFormat="1" ht="27" customHeight="1" x14ac:dyDescent="0.45">
      <c r="A8" s="52"/>
      <c r="B8" s="232"/>
      <c r="C8" s="232"/>
      <c r="D8" s="232"/>
      <c r="E8" s="232"/>
      <c r="F8" s="232"/>
      <c r="G8" s="184" t="s">
        <v>239</v>
      </c>
      <c r="H8" s="184"/>
      <c r="I8" s="183"/>
      <c r="J8" s="187"/>
      <c r="K8" s="186"/>
      <c r="L8" s="183"/>
      <c r="M8" s="183"/>
      <c r="N8" s="183"/>
      <c r="O8" s="183"/>
      <c r="P8" s="183"/>
      <c r="Q8" s="183"/>
      <c r="R8" s="183" t="s">
        <v>238</v>
      </c>
      <c r="S8" s="183"/>
      <c r="T8" s="183"/>
      <c r="U8" s="183"/>
      <c r="V8" s="183"/>
      <c r="W8" s="183"/>
      <c r="X8" s="238"/>
      <c r="Y8" s="233"/>
      <c r="Z8" s="233"/>
      <c r="AA8" s="63"/>
      <c r="AB8" s="83"/>
      <c r="AC8" s="83"/>
      <c r="AD8" s="303" t="s">
        <v>50</v>
      </c>
      <c r="AE8" s="303"/>
      <c r="AF8" s="303"/>
      <c r="AG8" s="303"/>
      <c r="AH8" s="303"/>
      <c r="AI8" s="303"/>
      <c r="AJ8" s="303"/>
      <c r="AK8" s="303"/>
      <c r="AL8" s="304"/>
      <c r="AM8" s="303"/>
      <c r="AN8" s="303"/>
      <c r="AO8" s="303"/>
      <c r="AP8" s="71"/>
      <c r="AQ8" s="84"/>
      <c r="AR8" s="73"/>
      <c r="AS8" s="85"/>
    </row>
    <row r="9" spans="1:46" s="55" customFormat="1" ht="27" customHeight="1" x14ac:dyDescent="0.45">
      <c r="A9" s="52"/>
      <c r="B9" s="232"/>
      <c r="C9" s="232"/>
      <c r="D9" s="232"/>
      <c r="E9" s="232"/>
      <c r="F9" s="233"/>
      <c r="G9" s="233"/>
      <c r="H9" s="233"/>
      <c r="I9" s="233"/>
      <c r="J9" s="233"/>
      <c r="K9" s="233"/>
      <c r="L9" s="233"/>
      <c r="M9" s="233"/>
      <c r="N9" s="233"/>
      <c r="O9" s="232"/>
      <c r="P9" s="232"/>
      <c r="Q9" s="232"/>
      <c r="R9" s="86"/>
      <c r="S9" s="239"/>
      <c r="T9" s="239"/>
      <c r="U9" s="232"/>
      <c r="V9" s="232"/>
      <c r="W9" s="232"/>
      <c r="X9" s="233"/>
      <c r="Y9" s="233"/>
      <c r="Z9" s="233"/>
      <c r="AA9" s="63"/>
      <c r="AB9" s="70" t="s">
        <v>51</v>
      </c>
      <c r="AC9" s="70"/>
      <c r="AD9" s="317" t="s">
        <v>52</v>
      </c>
      <c r="AE9" s="318"/>
      <c r="AF9" s="318"/>
      <c r="AG9" s="318"/>
      <c r="AH9" s="318"/>
      <c r="AI9" s="318"/>
      <c r="AJ9" s="318"/>
      <c r="AK9" s="318"/>
      <c r="AL9" s="258"/>
      <c r="AM9" s="318"/>
      <c r="AN9" s="318"/>
      <c r="AO9" s="318"/>
      <c r="AP9" s="75">
        <v>186</v>
      </c>
      <c r="AQ9" s="76">
        <v>309</v>
      </c>
      <c r="AR9" s="77">
        <v>98</v>
      </c>
      <c r="AS9" s="87">
        <f>SUM(AP9:AR9)</f>
        <v>593</v>
      </c>
    </row>
    <row r="10" spans="1:46" s="55" customFormat="1" ht="28.5" customHeight="1" x14ac:dyDescent="0.45">
      <c r="A10" s="52"/>
      <c r="B10" s="232"/>
      <c r="C10" s="232"/>
      <c r="D10" s="232"/>
      <c r="E10" s="232"/>
      <c r="F10" s="240"/>
      <c r="G10" s="240"/>
      <c r="H10" s="240"/>
      <c r="I10" s="240"/>
      <c r="J10" s="240"/>
      <c r="K10" s="240"/>
      <c r="L10" s="240"/>
      <c r="M10" s="232"/>
      <c r="N10" s="232"/>
      <c r="O10" s="240"/>
      <c r="P10" s="240"/>
      <c r="Q10" s="240"/>
      <c r="R10" s="241"/>
      <c r="S10" s="240"/>
      <c r="T10" s="240"/>
      <c r="U10" s="240"/>
      <c r="V10" s="240"/>
      <c r="W10" s="240"/>
      <c r="X10" s="232"/>
      <c r="Y10" s="232"/>
      <c r="Z10" s="86"/>
      <c r="AA10" s="86"/>
      <c r="AB10" s="88" t="s">
        <v>53</v>
      </c>
      <c r="AC10" s="88"/>
      <c r="AD10" s="257" t="s">
        <v>54</v>
      </c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77">
        <v>6</v>
      </c>
      <c r="AQ10" s="77">
        <v>6</v>
      </c>
      <c r="AR10" s="77">
        <v>8</v>
      </c>
      <c r="AS10" s="87">
        <f t="shared" ref="AS10:AS11" si="1">SUM(AP10:AR10)</f>
        <v>20</v>
      </c>
    </row>
    <row r="11" spans="1:46" s="55" customFormat="1" ht="33.75" customHeight="1" x14ac:dyDescent="0.4">
      <c r="A11" s="52"/>
      <c r="B11" s="52"/>
      <c r="C11" s="52"/>
      <c r="D11" s="52"/>
      <c r="E11" s="52"/>
      <c r="M11" s="52"/>
      <c r="N11" s="52"/>
      <c r="R11" s="56"/>
      <c r="Z11" s="61"/>
      <c r="AA11" s="61"/>
      <c r="AB11" s="89"/>
      <c r="AC11" s="89"/>
      <c r="AD11" s="307" t="s">
        <v>48</v>
      </c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90">
        <f>SUBTOTAL(9,AP9:AP10)</f>
        <v>192</v>
      </c>
      <c r="AQ11" s="90">
        <f t="shared" ref="AQ11:AR11" si="2">SUBTOTAL(9,AQ9:AQ10)</f>
        <v>315</v>
      </c>
      <c r="AR11" s="90">
        <f t="shared" si="2"/>
        <v>106</v>
      </c>
      <c r="AS11" s="87">
        <f t="shared" si="1"/>
        <v>613</v>
      </c>
    </row>
    <row r="12" spans="1:46" s="55" customFormat="1" ht="25.5" customHeight="1" x14ac:dyDescent="0.4">
      <c r="A12" s="52"/>
      <c r="B12" s="52"/>
      <c r="C12" s="52"/>
      <c r="D12" s="52"/>
      <c r="E12" s="52"/>
      <c r="R12" s="61"/>
      <c r="Z12" s="61"/>
      <c r="AA12" s="61"/>
      <c r="AB12" s="88">
        <v>1</v>
      </c>
      <c r="AC12" s="88"/>
      <c r="AD12" s="257" t="s">
        <v>27</v>
      </c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91"/>
      <c r="AQ12" s="92"/>
      <c r="AR12" s="91"/>
      <c r="AS12" s="93"/>
    </row>
    <row r="13" spans="1:46" s="55" customFormat="1" ht="28.5" customHeight="1" x14ac:dyDescent="0.4">
      <c r="A13" s="52"/>
      <c r="B13" s="52"/>
      <c r="C13" s="52"/>
      <c r="D13" s="52"/>
      <c r="E13" s="52"/>
      <c r="M13" s="52"/>
      <c r="N13" s="52"/>
      <c r="O13" s="52"/>
      <c r="P13" s="52"/>
      <c r="Q13" s="52"/>
      <c r="R13" s="61"/>
      <c r="S13" s="52"/>
      <c r="T13" s="52"/>
      <c r="U13" s="52"/>
      <c r="V13" s="52"/>
      <c r="W13" s="52"/>
      <c r="X13" s="52"/>
      <c r="Y13" s="52"/>
      <c r="Z13" s="61"/>
      <c r="AA13" s="61"/>
      <c r="AB13" s="88">
        <v>2</v>
      </c>
      <c r="AC13" s="88"/>
      <c r="AD13" s="257" t="s">
        <v>55</v>
      </c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91"/>
      <c r="AQ13" s="92"/>
      <c r="AR13" s="91"/>
      <c r="AS13" s="93"/>
    </row>
    <row r="14" spans="1:46" s="55" customFormat="1" ht="26.25" customHeight="1" x14ac:dyDescent="0.4">
      <c r="A14" s="52"/>
      <c r="B14" s="52"/>
      <c r="C14" s="52"/>
      <c r="D14" s="52"/>
      <c r="E14" s="52"/>
      <c r="M14" s="52"/>
      <c r="N14" s="52"/>
      <c r="O14" s="94"/>
      <c r="P14" s="94"/>
      <c r="Q14" s="94"/>
      <c r="R14" s="53"/>
      <c r="S14" s="94"/>
      <c r="T14" s="94"/>
      <c r="U14" s="94"/>
      <c r="V14" s="94"/>
      <c r="W14" s="94"/>
      <c r="X14" s="52"/>
      <c r="Y14" s="52"/>
      <c r="Z14" s="61"/>
      <c r="AA14" s="61"/>
      <c r="AB14" s="88">
        <v>3</v>
      </c>
      <c r="AC14" s="88"/>
      <c r="AD14" s="257" t="s">
        <v>56</v>
      </c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91"/>
      <c r="AQ14" s="92"/>
      <c r="AR14" s="91"/>
      <c r="AS14" s="93"/>
    </row>
    <row r="15" spans="1:46" s="55" customFormat="1" ht="27.75" customHeight="1" x14ac:dyDescent="0.4">
      <c r="A15" s="52"/>
      <c r="B15" s="52"/>
      <c r="C15" s="52"/>
      <c r="D15" s="52"/>
      <c r="E15" s="52"/>
      <c r="F15" s="94" t="s">
        <v>57</v>
      </c>
      <c r="G15" s="94"/>
      <c r="H15" s="94"/>
      <c r="I15" s="94"/>
      <c r="J15" s="94"/>
      <c r="K15" s="94"/>
      <c r="L15" s="52"/>
      <c r="R15" s="56"/>
      <c r="S15" s="94"/>
      <c r="T15" s="94"/>
      <c r="U15" s="94"/>
      <c r="V15" s="94"/>
      <c r="W15" s="94"/>
      <c r="X15" s="52"/>
      <c r="Y15" s="52"/>
      <c r="Z15" s="61"/>
      <c r="AA15" s="61"/>
      <c r="AB15" s="88">
        <v>4</v>
      </c>
      <c r="AC15" s="88"/>
      <c r="AD15" s="257" t="s">
        <v>58</v>
      </c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91"/>
      <c r="AQ15" s="92"/>
      <c r="AR15" s="91"/>
      <c r="AS15" s="93"/>
    </row>
    <row r="16" spans="1:46" s="55" customFormat="1" ht="27" customHeight="1" x14ac:dyDescent="0.4">
      <c r="A16" s="52"/>
      <c r="B16" s="52"/>
      <c r="C16" s="52"/>
      <c r="D16" s="52"/>
      <c r="E16" s="52"/>
      <c r="F16" s="52"/>
      <c r="G16" s="95" t="s">
        <v>59</v>
      </c>
      <c r="H16" s="52"/>
      <c r="I16" s="52"/>
      <c r="J16" s="52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4"/>
      <c r="Y16" s="94"/>
      <c r="Z16" s="61"/>
      <c r="AA16" s="61"/>
      <c r="AB16" s="88">
        <v>5</v>
      </c>
      <c r="AC16" s="97"/>
      <c r="AD16" s="258" t="s">
        <v>60</v>
      </c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91">
        <v>3</v>
      </c>
      <c r="AQ16" s="92">
        <v>4</v>
      </c>
      <c r="AR16" s="91"/>
      <c r="AS16" s="93">
        <f>SUM(AP16:AR16)</f>
        <v>7</v>
      </c>
    </row>
    <row r="17" spans="1:45" s="55" customFormat="1" ht="21.75" customHeight="1" x14ac:dyDescent="0.4">
      <c r="A17" s="52"/>
      <c r="B17" s="52"/>
      <c r="C17" s="52"/>
      <c r="D17" s="52"/>
      <c r="E17" s="52"/>
      <c r="M17" s="52"/>
      <c r="N17" s="52"/>
      <c r="O17" s="52"/>
      <c r="P17" s="52"/>
      <c r="Q17" s="52"/>
      <c r="R17" s="61"/>
      <c r="S17" s="52"/>
      <c r="T17" s="52"/>
      <c r="U17" s="52"/>
      <c r="V17" s="52"/>
      <c r="W17" s="52"/>
      <c r="X17" s="52"/>
      <c r="Y17" s="52"/>
      <c r="Z17" s="61"/>
      <c r="AA17" s="61"/>
      <c r="AB17" s="88">
        <v>6</v>
      </c>
      <c r="AC17" s="98"/>
      <c r="AD17" s="258" t="s">
        <v>61</v>
      </c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91">
        <v>4</v>
      </c>
      <c r="AQ17" s="92">
        <v>12</v>
      </c>
      <c r="AR17" s="91"/>
      <c r="AS17" s="93">
        <f t="shared" ref="AS17:AS18" si="3">SUM(AP17:AR17)</f>
        <v>16</v>
      </c>
    </row>
    <row r="18" spans="1:45" s="55" customFormat="1" ht="23.25" customHeight="1" x14ac:dyDescent="0.4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61"/>
      <c r="S18" s="52"/>
      <c r="T18" s="52"/>
      <c r="U18" s="52"/>
      <c r="V18" s="52"/>
      <c r="W18" s="52"/>
      <c r="X18" s="52"/>
      <c r="Y18" s="52"/>
      <c r="Z18" s="61"/>
      <c r="AA18" s="61"/>
      <c r="AB18" s="88">
        <v>7</v>
      </c>
      <c r="AC18" s="98"/>
      <c r="AD18" s="258" t="s">
        <v>179</v>
      </c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91"/>
      <c r="AQ18" s="92">
        <v>5</v>
      </c>
      <c r="AR18" s="91"/>
      <c r="AS18" s="93">
        <f t="shared" si="3"/>
        <v>5</v>
      </c>
    </row>
    <row r="19" spans="1:45" s="55" customFormat="1" ht="25.5" customHeight="1" x14ac:dyDescent="0.4">
      <c r="A19" s="52"/>
      <c r="B19" s="52"/>
      <c r="C19" s="52"/>
      <c r="D19" s="52"/>
      <c r="E19" s="52"/>
      <c r="F19" s="94"/>
      <c r="G19" s="53" t="s">
        <v>240</v>
      </c>
      <c r="H19" s="52"/>
      <c r="I19" s="52"/>
      <c r="J19" s="95"/>
      <c r="K19" s="94"/>
      <c r="M19" s="52"/>
      <c r="N19" s="52"/>
      <c r="O19" s="52"/>
      <c r="P19" s="52"/>
      <c r="Q19" s="52"/>
      <c r="R19" s="61"/>
      <c r="S19" s="52"/>
      <c r="T19" s="52"/>
      <c r="U19" s="52"/>
      <c r="V19" s="52"/>
      <c r="W19" s="52"/>
      <c r="X19" s="52"/>
      <c r="Y19" s="52"/>
      <c r="Z19" s="61"/>
      <c r="AA19" s="61"/>
      <c r="AB19" s="88">
        <v>8</v>
      </c>
      <c r="AC19" s="98"/>
      <c r="AD19" s="258" t="s">
        <v>62</v>
      </c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91">
        <v>6</v>
      </c>
      <c r="AQ19" s="92">
        <v>12</v>
      </c>
      <c r="AR19" s="91"/>
      <c r="AS19" s="93">
        <f>SUM(AP19:AR19)</f>
        <v>18</v>
      </c>
    </row>
    <row r="20" spans="1:45" s="55" customFormat="1" ht="25.5" customHeight="1" x14ac:dyDescent="0.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61"/>
      <c r="S20" s="52"/>
      <c r="T20" s="52"/>
      <c r="U20" s="52"/>
      <c r="V20" s="52"/>
      <c r="W20" s="52"/>
      <c r="X20" s="52"/>
      <c r="Y20" s="52"/>
      <c r="Z20" s="61"/>
      <c r="AA20" s="61"/>
      <c r="AB20" s="88">
        <v>9</v>
      </c>
      <c r="AC20" s="98"/>
      <c r="AD20" s="258" t="s">
        <v>63</v>
      </c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91"/>
      <c r="AQ20" s="92"/>
      <c r="AR20" s="91"/>
      <c r="AS20" s="93"/>
    </row>
    <row r="21" spans="1:45" s="55" customFormat="1" ht="28.5" customHeigh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61"/>
      <c r="S21" s="52"/>
      <c r="T21" s="52"/>
      <c r="U21" s="52"/>
      <c r="V21" s="52"/>
      <c r="W21" s="52"/>
      <c r="X21" s="52"/>
      <c r="Y21" s="52"/>
      <c r="Z21" s="61"/>
      <c r="AA21" s="61"/>
      <c r="AB21" s="88">
        <v>10</v>
      </c>
      <c r="AC21" s="98"/>
      <c r="AD21" s="258" t="s">
        <v>64</v>
      </c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91"/>
      <c r="AQ21" s="92"/>
      <c r="AR21" s="91"/>
      <c r="AS21" s="93"/>
    </row>
    <row r="22" spans="1:45" s="55" customFormat="1" ht="22.5" customHeight="1" x14ac:dyDescent="0.4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61"/>
      <c r="S22" s="52"/>
      <c r="T22" s="52"/>
      <c r="U22" s="52"/>
      <c r="V22" s="52"/>
      <c r="W22" s="52"/>
      <c r="X22" s="52"/>
      <c r="Y22" s="52"/>
      <c r="Z22" s="61"/>
      <c r="AA22" s="61"/>
      <c r="AB22" s="88">
        <v>11</v>
      </c>
      <c r="AC22" s="98"/>
      <c r="AD22" s="258" t="s">
        <v>65</v>
      </c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91"/>
      <c r="AQ22" s="92"/>
      <c r="AR22" s="91"/>
      <c r="AS22" s="93"/>
    </row>
    <row r="23" spans="1:45" s="55" customFormat="1" ht="28.5" customHeight="1" x14ac:dyDescent="0.4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61"/>
      <c r="S23" s="52"/>
      <c r="T23" s="52"/>
      <c r="U23" s="52"/>
      <c r="V23" s="52"/>
      <c r="W23" s="52"/>
      <c r="X23" s="52"/>
      <c r="Y23" s="52"/>
      <c r="Z23" s="61"/>
      <c r="AA23" s="61"/>
      <c r="AB23" s="88">
        <v>12</v>
      </c>
      <c r="AC23" s="98"/>
      <c r="AD23" s="258" t="s">
        <v>66</v>
      </c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91"/>
      <c r="AQ23" s="92"/>
      <c r="AR23" s="91"/>
      <c r="AS23" s="93"/>
    </row>
    <row r="24" spans="1:45" s="55" customFormat="1" ht="24.75" customHeight="1" x14ac:dyDescent="0.4">
      <c r="A24" s="52"/>
      <c r="B24" s="52"/>
      <c r="C24" s="94" t="s">
        <v>67</v>
      </c>
      <c r="D24" s="94"/>
      <c r="E24" s="94"/>
      <c r="F24" s="52">
        <v>21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61"/>
      <c r="S24" s="52"/>
      <c r="T24" s="52"/>
      <c r="U24" s="52"/>
      <c r="V24" s="52"/>
      <c r="W24" s="52"/>
      <c r="X24" s="52"/>
      <c r="Y24" s="52"/>
      <c r="Z24" s="61"/>
      <c r="AA24" s="61"/>
      <c r="AB24" s="88">
        <v>13</v>
      </c>
      <c r="AC24" s="98"/>
      <c r="AD24" s="258" t="s">
        <v>68</v>
      </c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91"/>
      <c r="AQ24" s="92">
        <v>15</v>
      </c>
      <c r="AR24" s="91"/>
      <c r="AS24" s="93">
        <f>SUM(AP24:AR24)</f>
        <v>15</v>
      </c>
    </row>
    <row r="25" spans="1:45" s="55" customFormat="1" ht="23.25" customHeight="1" x14ac:dyDescent="0.4">
      <c r="A25" s="52"/>
      <c r="B25" s="52"/>
      <c r="C25" s="94"/>
      <c r="D25" s="94"/>
      <c r="E25" s="94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61"/>
      <c r="S25" s="52"/>
      <c r="T25" s="52"/>
      <c r="U25" s="52"/>
      <c r="V25" s="52"/>
      <c r="W25" s="52"/>
      <c r="X25" s="52"/>
      <c r="Y25" s="52"/>
      <c r="Z25" s="61"/>
      <c r="AA25" s="61"/>
      <c r="AB25" s="88">
        <v>14</v>
      </c>
      <c r="AC25" s="98"/>
      <c r="AD25" s="263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91"/>
      <c r="AQ25" s="92"/>
      <c r="AR25" s="91"/>
      <c r="AS25" s="93"/>
    </row>
    <row r="26" spans="1:45" s="55" customFormat="1" ht="25.5" customHeight="1" x14ac:dyDescent="0.4">
      <c r="A26" s="52"/>
      <c r="B26" s="52"/>
      <c r="C26" s="94" t="s">
        <v>69</v>
      </c>
      <c r="D26" s="94"/>
      <c r="E26" s="94">
        <v>306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61"/>
      <c r="S26" s="52"/>
      <c r="T26" s="52"/>
      <c r="U26" s="52"/>
      <c r="V26" s="52"/>
      <c r="W26" s="52"/>
      <c r="X26" s="52"/>
      <c r="Y26" s="52"/>
      <c r="Z26" s="61"/>
      <c r="AA26" s="61"/>
      <c r="AB26" s="88">
        <v>15</v>
      </c>
      <c r="AC26" s="99"/>
      <c r="AD26" s="263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91"/>
      <c r="AQ26" s="91"/>
      <c r="AR26" s="91"/>
      <c r="AS26" s="93"/>
    </row>
    <row r="27" spans="1:45" s="100" customFormat="1" ht="22.5" customHeight="1" x14ac:dyDescent="0.4">
      <c r="B27" s="101"/>
      <c r="AB27" s="88">
        <v>16</v>
      </c>
      <c r="AC27" s="102"/>
      <c r="AD27" s="265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103"/>
      <c r="AQ27" s="104"/>
      <c r="AR27" s="103"/>
      <c r="AS27" s="93"/>
    </row>
    <row r="28" spans="1:45" s="55" customFormat="1" ht="33.75" customHeight="1" x14ac:dyDescent="0.4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61"/>
      <c r="S28" s="52"/>
      <c r="T28" s="52"/>
      <c r="U28" s="52"/>
      <c r="V28" s="52"/>
      <c r="W28" s="52"/>
      <c r="X28" s="52"/>
      <c r="Y28" s="52"/>
      <c r="Z28" s="61"/>
      <c r="AA28" s="61"/>
      <c r="AB28" s="88">
        <v>17</v>
      </c>
      <c r="AC28" s="98"/>
      <c r="AD28" s="258" t="s">
        <v>70</v>
      </c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91"/>
      <c r="AQ28" s="92"/>
      <c r="AR28" s="91"/>
      <c r="AS28" s="93"/>
    </row>
    <row r="29" spans="1:45" s="55" customFormat="1" ht="31.5" customHeight="1" x14ac:dyDescent="0.4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61"/>
      <c r="S29" s="52"/>
      <c r="T29" s="52"/>
      <c r="U29" s="52"/>
      <c r="V29" s="52"/>
      <c r="W29" s="52"/>
      <c r="X29" s="52"/>
      <c r="Y29" s="52"/>
      <c r="Z29" s="61"/>
      <c r="AA29" s="61"/>
      <c r="AB29" s="88">
        <v>18</v>
      </c>
      <c r="AC29" s="98"/>
      <c r="AD29" s="258" t="s">
        <v>71</v>
      </c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91"/>
      <c r="AQ29" s="92"/>
      <c r="AR29" s="91"/>
      <c r="AS29" s="93"/>
    </row>
    <row r="30" spans="1:45" s="55" customFormat="1" ht="29.25" customHeight="1" x14ac:dyDescent="0.4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61"/>
      <c r="S30" s="52"/>
      <c r="T30" s="52"/>
      <c r="X30" s="52"/>
      <c r="Y30" s="52"/>
      <c r="Z30" s="61"/>
      <c r="AA30" s="61"/>
      <c r="AB30" s="88">
        <v>19</v>
      </c>
      <c r="AC30" s="98"/>
      <c r="AD30" s="258" t="s">
        <v>72</v>
      </c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91"/>
      <c r="AQ30" s="92"/>
      <c r="AR30" s="91"/>
      <c r="AS30" s="93"/>
    </row>
    <row r="31" spans="1:45" s="55" customFormat="1" ht="38.25" customHeight="1" x14ac:dyDescent="0.4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61"/>
      <c r="S31" s="52"/>
      <c r="T31" s="52"/>
      <c r="U31" s="52"/>
      <c r="V31" s="52"/>
      <c r="W31" s="52"/>
      <c r="X31" s="52"/>
      <c r="Y31" s="52"/>
      <c r="Z31" s="61"/>
      <c r="AA31" s="61"/>
      <c r="AB31" s="88">
        <v>20</v>
      </c>
      <c r="AC31" s="105"/>
      <c r="AD31" s="271" t="s">
        <v>73</v>
      </c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106"/>
      <c r="AQ31" s="107"/>
      <c r="AR31" s="106"/>
      <c r="AS31" s="93"/>
    </row>
    <row r="32" spans="1:45" s="55" customFormat="1" ht="36" customHeight="1" x14ac:dyDescent="0.4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61"/>
      <c r="S32" s="52"/>
      <c r="T32" s="52"/>
      <c r="U32" s="52"/>
      <c r="V32" s="52"/>
      <c r="W32" s="52"/>
      <c r="X32" s="52"/>
      <c r="Y32" s="52"/>
      <c r="Z32" s="61"/>
      <c r="AA32" s="61"/>
      <c r="AB32" s="279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142">
        <f>SUM(AP12:AP31)</f>
        <v>13</v>
      </c>
      <c r="AQ32" s="142">
        <f t="shared" ref="AQ32:AR32" si="4">SUM(AQ12:AQ31)</f>
        <v>48</v>
      </c>
      <c r="AR32" s="142">
        <f t="shared" si="4"/>
        <v>0</v>
      </c>
      <c r="AS32" s="142">
        <f>SUM(AS12:AS31)</f>
        <v>61</v>
      </c>
    </row>
    <row r="33" spans="1:50" s="3" customFormat="1" ht="24.75" customHeight="1" x14ac:dyDescent="0.45">
      <c r="A33" s="6"/>
      <c r="B33" s="9"/>
      <c r="C33" s="9"/>
      <c r="D33" s="9"/>
      <c r="E33" s="22"/>
      <c r="F33" s="22"/>
      <c r="G33" s="22"/>
      <c r="H33" s="22"/>
      <c r="I33" s="10"/>
      <c r="J33" s="10"/>
      <c r="K33" s="10"/>
      <c r="L33" s="10"/>
      <c r="M33" s="311" t="s">
        <v>237</v>
      </c>
      <c r="N33" s="311"/>
      <c r="O33" s="311"/>
      <c r="P33" s="311"/>
      <c r="Q33" s="311"/>
      <c r="R33" s="31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6"/>
      <c r="AK33" s="6"/>
      <c r="AL33" s="6"/>
      <c r="AM33" s="6"/>
      <c r="AN33" s="6"/>
      <c r="AO33" s="6"/>
    </row>
    <row r="34" spans="1:50" s="3" customFormat="1" ht="28.5" customHeight="1" x14ac:dyDescent="0.45">
      <c r="A34" s="6"/>
      <c r="B34" s="9"/>
      <c r="C34" s="9"/>
      <c r="D34" s="9"/>
      <c r="E34" s="22"/>
      <c r="F34" s="22"/>
      <c r="G34" s="22"/>
      <c r="H34" s="22"/>
      <c r="I34" s="10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8"/>
      <c r="AJ34" s="6"/>
      <c r="AK34" s="6"/>
      <c r="AL34" s="6"/>
      <c r="AM34" s="6"/>
      <c r="AN34" s="6"/>
      <c r="AO34" s="6"/>
    </row>
    <row r="35" spans="1:50" s="3" customFormat="1" ht="22.5" customHeight="1" x14ac:dyDescent="0.45">
      <c r="A35" s="6"/>
      <c r="B35" s="6"/>
      <c r="C35" s="6"/>
      <c r="D35" s="6"/>
      <c r="E35" s="21"/>
      <c r="F35" s="21"/>
      <c r="G35" s="21"/>
      <c r="H35" s="21"/>
      <c r="I35" s="7">
        <v>17697</v>
      </c>
      <c r="J35" s="7"/>
      <c r="K35" s="7"/>
      <c r="L35" s="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Q35">
        <v>3450</v>
      </c>
      <c r="AR35"/>
      <c r="AS35"/>
    </row>
    <row r="36" spans="1:50" s="3" customFormat="1" ht="1.5" hidden="1" customHeight="1" x14ac:dyDescent="0.45">
      <c r="A36" s="6"/>
      <c r="B36" s="6"/>
      <c r="C36" s="6"/>
      <c r="D36" s="6"/>
      <c r="E36" s="21"/>
      <c r="F36" s="21"/>
      <c r="G36" s="21"/>
      <c r="H36" s="21"/>
      <c r="I36" s="7"/>
      <c r="J36" s="7"/>
      <c r="K36" s="7"/>
      <c r="L36" s="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50" s="3" customFormat="1" ht="34.5" hidden="1" customHeight="1" x14ac:dyDescent="0.45">
      <c r="A37" s="6"/>
      <c r="B37" s="6"/>
      <c r="C37" s="6"/>
      <c r="D37" s="6"/>
      <c r="E37" s="21"/>
      <c r="F37" s="21"/>
      <c r="G37" s="21"/>
      <c r="H37" s="21"/>
      <c r="I37" s="7"/>
      <c r="J37" s="7"/>
      <c r="K37" s="7"/>
      <c r="L37" s="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50" s="3" customFormat="1" ht="34.5" hidden="1" customHeight="1" x14ac:dyDescent="0.45">
      <c r="A38" s="6"/>
      <c r="B38" s="6"/>
      <c r="C38" s="6"/>
      <c r="D38" s="6"/>
      <c r="E38" s="21"/>
      <c r="F38" s="21"/>
      <c r="G38" s="21"/>
      <c r="H38" s="21"/>
      <c r="I38" s="7"/>
      <c r="J38" s="7"/>
      <c r="K38" s="7"/>
      <c r="L38" s="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50" s="3" customFormat="1" ht="32.25" hidden="1" customHeight="1" thickBot="1" x14ac:dyDescent="0.5">
      <c r="A39" s="6"/>
      <c r="B39" s="6"/>
      <c r="C39" s="6"/>
      <c r="D39" s="6"/>
      <c r="E39" s="21"/>
      <c r="F39" s="21"/>
      <c r="G39" s="21"/>
      <c r="H39" s="21"/>
      <c r="I39" s="7"/>
      <c r="J39" s="7"/>
      <c r="K39" s="7"/>
      <c r="L39" s="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50" s="3" customFormat="1" ht="34.5" hidden="1" customHeight="1" x14ac:dyDescent="0.45">
      <c r="A40" s="6"/>
      <c r="B40" s="6"/>
      <c r="C40" s="6"/>
      <c r="D40" s="6"/>
      <c r="E40" s="21"/>
      <c r="F40" s="21"/>
      <c r="G40" s="21"/>
      <c r="H40" s="21"/>
      <c r="I40" s="7"/>
      <c r="J40" s="7"/>
      <c r="K40" s="7"/>
      <c r="L40" s="7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50" s="3" customFormat="1" ht="42.75" customHeight="1" x14ac:dyDescent="0.45">
      <c r="A41" s="287" t="s">
        <v>3</v>
      </c>
      <c r="B41" s="292" t="s">
        <v>4</v>
      </c>
      <c r="C41" s="292" t="s">
        <v>16</v>
      </c>
      <c r="D41" s="292" t="s">
        <v>17</v>
      </c>
      <c r="E41" s="295" t="s">
        <v>23</v>
      </c>
      <c r="F41" s="298" t="s">
        <v>5</v>
      </c>
      <c r="G41" s="298" t="s">
        <v>6</v>
      </c>
      <c r="H41" s="288" t="s">
        <v>14</v>
      </c>
      <c r="I41" s="293" t="s">
        <v>9</v>
      </c>
      <c r="J41" s="297" t="s">
        <v>41</v>
      </c>
      <c r="K41" s="290" t="s">
        <v>189</v>
      </c>
      <c r="L41" s="268" t="s">
        <v>174</v>
      </c>
      <c r="M41" s="274"/>
      <c r="N41" s="274"/>
      <c r="O41" s="274"/>
      <c r="P41" s="274"/>
      <c r="Q41" s="274"/>
      <c r="R41" s="275"/>
      <c r="S41" s="276"/>
      <c r="T41" s="276"/>
      <c r="U41" s="276"/>
      <c r="V41" s="276"/>
      <c r="W41" s="224"/>
      <c r="X41" s="277" t="s">
        <v>28</v>
      </c>
      <c r="Y41" s="325">
        <v>0.1</v>
      </c>
      <c r="Z41" s="139" t="s">
        <v>37</v>
      </c>
      <c r="AA41" s="140"/>
      <c r="AB41" s="270" t="s">
        <v>30</v>
      </c>
      <c r="AC41" s="270"/>
      <c r="AD41" s="281" t="s">
        <v>31</v>
      </c>
      <c r="AE41" s="282"/>
      <c r="AF41" s="283"/>
      <c r="AG41" s="272" t="s">
        <v>32</v>
      </c>
      <c r="AH41" s="284"/>
      <c r="AI41" s="285"/>
      <c r="AJ41" s="285"/>
      <c r="AK41" s="286"/>
      <c r="AL41" s="114"/>
      <c r="AM41" s="114"/>
      <c r="AN41" s="111" t="s">
        <v>7</v>
      </c>
      <c r="AO41" s="112"/>
      <c r="AP41" s="112"/>
      <c r="AQ41" s="112"/>
      <c r="AR41" s="112"/>
      <c r="AS41" s="112"/>
      <c r="AT41" s="112"/>
      <c r="AU41" s="214"/>
      <c r="AV41" s="214"/>
      <c r="AW41" s="113"/>
      <c r="AX41" s="259" t="s">
        <v>15</v>
      </c>
    </row>
    <row r="42" spans="1:50" s="3" customFormat="1" ht="171" customHeight="1" x14ac:dyDescent="0.45">
      <c r="A42" s="287"/>
      <c r="B42" s="292"/>
      <c r="C42" s="292"/>
      <c r="D42" s="292"/>
      <c r="E42" s="296"/>
      <c r="F42" s="298"/>
      <c r="G42" s="298"/>
      <c r="H42" s="289"/>
      <c r="I42" s="294"/>
      <c r="J42" s="296"/>
      <c r="K42" s="291"/>
      <c r="L42" s="269"/>
      <c r="M42" s="25" t="s">
        <v>11</v>
      </c>
      <c r="N42" s="25" t="s">
        <v>116</v>
      </c>
      <c r="O42" s="25" t="s">
        <v>12</v>
      </c>
      <c r="P42" s="25" t="s">
        <v>117</v>
      </c>
      <c r="Q42" s="25" t="s">
        <v>220</v>
      </c>
      <c r="R42" s="25" t="s">
        <v>221</v>
      </c>
      <c r="S42" s="25" t="s">
        <v>11</v>
      </c>
      <c r="T42" s="25" t="s">
        <v>118</v>
      </c>
      <c r="U42" s="25" t="s">
        <v>12</v>
      </c>
      <c r="V42" s="25" t="s">
        <v>119</v>
      </c>
      <c r="W42" s="25" t="s">
        <v>220</v>
      </c>
      <c r="X42" s="278"/>
      <c r="Y42" s="326"/>
      <c r="Z42" s="41" t="s">
        <v>38</v>
      </c>
      <c r="AA42" s="44" t="s">
        <v>39</v>
      </c>
      <c r="AB42" s="41" t="s">
        <v>33</v>
      </c>
      <c r="AC42" s="44" t="s">
        <v>34</v>
      </c>
      <c r="AD42" s="109" t="s">
        <v>75</v>
      </c>
      <c r="AE42" s="49" t="s">
        <v>35</v>
      </c>
      <c r="AF42" s="45" t="s">
        <v>36</v>
      </c>
      <c r="AG42" s="273"/>
      <c r="AH42" s="46" t="s">
        <v>42</v>
      </c>
      <c r="AI42" s="110" t="s">
        <v>76</v>
      </c>
      <c r="AJ42" s="50">
        <v>0.4</v>
      </c>
      <c r="AK42" s="50">
        <v>0.5</v>
      </c>
      <c r="AL42" s="115" t="s">
        <v>78</v>
      </c>
      <c r="AM42" s="115" t="s">
        <v>77</v>
      </c>
      <c r="AN42" s="261" t="s">
        <v>43</v>
      </c>
      <c r="AO42" s="267"/>
      <c r="AP42" s="47" t="s">
        <v>18</v>
      </c>
      <c r="AQ42" s="261" t="s">
        <v>44</v>
      </c>
      <c r="AR42" s="267"/>
      <c r="AS42" s="261" t="s">
        <v>176</v>
      </c>
      <c r="AT42" s="262"/>
      <c r="AU42" s="261" t="s">
        <v>200</v>
      </c>
      <c r="AV42" s="262"/>
      <c r="AW42" s="210" t="s">
        <v>13</v>
      </c>
      <c r="AX42" s="260"/>
    </row>
    <row r="43" spans="1:50" s="17" customFormat="1" ht="34.5" x14ac:dyDescent="0.2">
      <c r="A43" s="225">
        <v>1</v>
      </c>
      <c r="B43" s="218" t="s">
        <v>82</v>
      </c>
      <c r="C43" s="116" t="s">
        <v>74</v>
      </c>
      <c r="D43" s="116" t="s">
        <v>81</v>
      </c>
      <c r="E43" s="116" t="s">
        <v>109</v>
      </c>
      <c r="F43" s="30" t="s">
        <v>24</v>
      </c>
      <c r="G43" s="124">
        <v>5.2</v>
      </c>
      <c r="H43" s="126">
        <v>32</v>
      </c>
      <c r="I43" s="42">
        <f t="shared" ref="I43:I44" si="5">17697*G43</f>
        <v>92024.400000000009</v>
      </c>
      <c r="J43" s="42">
        <f t="shared" ref="J43:J44" si="6">I43*0.25</f>
        <v>23006.100000000002</v>
      </c>
      <c r="K43" s="42">
        <f t="shared" ref="K43:K44" si="7">(I43+J43)*1</f>
        <v>115030.50000000001</v>
      </c>
      <c r="L43" s="42">
        <f t="shared" ref="L43:L44" si="8">(I43+J43)*2</f>
        <v>230061.00000000003</v>
      </c>
      <c r="M43" s="26"/>
      <c r="N43" s="26"/>
      <c r="O43" s="129">
        <v>1</v>
      </c>
      <c r="P43" s="129"/>
      <c r="Q43" s="129"/>
      <c r="R43" s="40">
        <f t="shared" ref="R43:R44" si="9">SUM(M43:Q43)</f>
        <v>1</v>
      </c>
      <c r="S43" s="34">
        <f t="shared" ref="S43:S44" si="10">M43/16*L43</f>
        <v>0</v>
      </c>
      <c r="T43" s="34">
        <f t="shared" ref="T43:T44" si="11">N43/16*L43</f>
        <v>0</v>
      </c>
      <c r="U43" s="34">
        <f t="shared" ref="U43:U44" si="12">O43/16*L43</f>
        <v>14378.812500000002</v>
      </c>
      <c r="V43" s="34">
        <f t="shared" ref="V43:V44" si="13">P43/16*L43</f>
        <v>0</v>
      </c>
      <c r="W43" s="34">
        <f t="shared" ref="W43:W44" si="14">Q43/16*L43</f>
        <v>0</v>
      </c>
      <c r="X43" s="34">
        <f t="shared" ref="X43:X44" si="15">SUM(S43:W43)</f>
        <v>14378.812500000002</v>
      </c>
      <c r="Y43" s="35"/>
      <c r="Z43" s="26">
        <f t="shared" ref="Z43:Z44" si="16">SUM(N43+P43)</f>
        <v>0</v>
      </c>
      <c r="AA43" s="26">
        <f t="shared" ref="AA43" si="17">SUM(($I$35/16)*Z43)*0.4</f>
        <v>0</v>
      </c>
      <c r="AB43" s="26"/>
      <c r="AC43" s="42">
        <f t="shared" ref="AC43:AC44" si="18">L43*0.3/16*AB43</f>
        <v>0</v>
      </c>
      <c r="AD43" s="42"/>
      <c r="AE43" s="34">
        <v>35</v>
      </c>
      <c r="AF43" s="42">
        <f t="shared" ref="AF43:AF44" si="19">(L43*AE43/100)/16*AD43</f>
        <v>0</v>
      </c>
      <c r="AG43" s="42"/>
      <c r="AH43" s="130"/>
      <c r="AI43" s="133"/>
      <c r="AJ43" s="36">
        <f t="shared" ref="AJ43:AJ44" si="20">SUM(17697/16*0.4*AH43)</f>
        <v>0</v>
      </c>
      <c r="AK43" s="36">
        <f t="shared" ref="AK43:AK44" si="21">SUM(17697/16*0.5*AI43)</f>
        <v>0</v>
      </c>
      <c r="AL43" s="133"/>
      <c r="AM43" s="133"/>
      <c r="AN43" s="26">
        <f>SUM($I$35*AL43)*0.5</f>
        <v>0</v>
      </c>
      <c r="AO43" s="26">
        <f>SUM($I$35*AM43)*0.6</f>
        <v>0</v>
      </c>
      <c r="AP43" s="26"/>
      <c r="AQ43" s="26"/>
      <c r="AR43" s="26">
        <f>SUM($I$35*AQ43)</f>
        <v>0</v>
      </c>
      <c r="AS43" s="26"/>
      <c r="AT43" s="209">
        <f>SUM($I$35*AS43)</f>
        <v>0</v>
      </c>
      <c r="AU43" s="215"/>
      <c r="AV43" s="36">
        <f>SUM($I$35*AU43)</f>
        <v>0</v>
      </c>
      <c r="AW43" s="211"/>
      <c r="AX43" s="37">
        <f>X43+Y43+AA43+AC43+AF43+AG43+AJ43+AK43+AN43+AO43+AP43+AR43+AT43+AW43</f>
        <v>14378.812500000002</v>
      </c>
    </row>
    <row r="44" spans="1:50" s="24" customFormat="1" ht="34.5" x14ac:dyDescent="0.2">
      <c r="A44" s="16">
        <v>2</v>
      </c>
      <c r="B44" s="118" t="s">
        <v>88</v>
      </c>
      <c r="C44" s="116" t="s">
        <v>180</v>
      </c>
      <c r="D44" s="116" t="s">
        <v>81</v>
      </c>
      <c r="E44" s="116" t="s">
        <v>199</v>
      </c>
      <c r="F44" s="30" t="s">
        <v>24</v>
      </c>
      <c r="G44" s="124">
        <v>5.2</v>
      </c>
      <c r="H44" s="116">
        <v>33.049999999999997</v>
      </c>
      <c r="I44" s="42">
        <f t="shared" si="5"/>
        <v>92024.400000000009</v>
      </c>
      <c r="J44" s="42">
        <f t="shared" si="6"/>
        <v>23006.100000000002</v>
      </c>
      <c r="K44" s="42">
        <f t="shared" si="7"/>
        <v>115030.50000000001</v>
      </c>
      <c r="L44" s="42">
        <f t="shared" si="8"/>
        <v>230061.00000000003</v>
      </c>
      <c r="M44" s="129"/>
      <c r="N44" s="129"/>
      <c r="O44" s="129">
        <v>1</v>
      </c>
      <c r="P44" s="129"/>
      <c r="Q44" s="129"/>
      <c r="R44" s="40">
        <f t="shared" si="9"/>
        <v>1</v>
      </c>
      <c r="S44" s="34">
        <f t="shared" si="10"/>
        <v>0</v>
      </c>
      <c r="T44" s="34">
        <f t="shared" si="11"/>
        <v>0</v>
      </c>
      <c r="U44" s="34">
        <f t="shared" si="12"/>
        <v>14378.812500000002</v>
      </c>
      <c r="V44" s="34">
        <f t="shared" si="13"/>
        <v>0</v>
      </c>
      <c r="W44" s="34">
        <f t="shared" si="14"/>
        <v>0</v>
      </c>
      <c r="X44" s="34">
        <f t="shared" si="15"/>
        <v>14378.812500000002</v>
      </c>
      <c r="Y44" s="35"/>
      <c r="Z44" s="26">
        <f t="shared" si="16"/>
        <v>0</v>
      </c>
      <c r="AA44" s="26">
        <f t="shared" ref="AA44" si="22">SUM(($I$35/16)*Z44)*0.4</f>
        <v>0</v>
      </c>
      <c r="AB44" s="26"/>
      <c r="AC44" s="42">
        <f t="shared" si="18"/>
        <v>0</v>
      </c>
      <c r="AD44" s="42"/>
      <c r="AE44" s="34">
        <v>30</v>
      </c>
      <c r="AF44" s="42">
        <f t="shared" si="19"/>
        <v>0</v>
      </c>
      <c r="AG44" s="43"/>
      <c r="AH44" s="131"/>
      <c r="AI44" s="135"/>
      <c r="AJ44" s="36">
        <f t="shared" si="20"/>
        <v>0</v>
      </c>
      <c r="AK44" s="36">
        <f t="shared" si="21"/>
        <v>0</v>
      </c>
      <c r="AL44" s="133"/>
      <c r="AM44" s="133"/>
      <c r="AN44" s="26">
        <f t="shared" ref="AN44" si="23">SUM($I$35*AL44)*0.5</f>
        <v>0</v>
      </c>
      <c r="AO44" s="26">
        <f t="shared" ref="AO44" si="24">SUM($I$35*AM44)*0.6</f>
        <v>0</v>
      </c>
      <c r="AP44" s="33"/>
      <c r="AQ44" s="33"/>
      <c r="AR44" s="33">
        <f>SUM($AQ$35*AQ44)</f>
        <v>0</v>
      </c>
      <c r="AS44" s="33"/>
      <c r="AT44" s="209">
        <f t="shared" ref="AT44" si="25">SUM($I$35*AS44)</f>
        <v>0</v>
      </c>
      <c r="AU44" s="217"/>
      <c r="AV44" s="36">
        <f t="shared" ref="AV44" si="26">SUM($I$35*AU44)</f>
        <v>0</v>
      </c>
      <c r="AW44" s="213"/>
      <c r="AX44" s="37">
        <f>X44+Y44+AA44+AC44+AF44+AG44+AJ44+AK44+AN44+AO44+AP44+AR44+AT44+AW44</f>
        <v>14378.812500000002</v>
      </c>
    </row>
    <row r="45" spans="1:50" s="14" customFormat="1" ht="34.5" customHeight="1" x14ac:dyDescent="0.25">
      <c r="A45" s="16"/>
      <c r="B45" s="40" t="s">
        <v>8</v>
      </c>
      <c r="C45" s="26"/>
      <c r="D45" s="26"/>
      <c r="E45" s="33"/>
      <c r="F45" s="31"/>
      <c r="G45" s="31"/>
      <c r="H45" s="38"/>
      <c r="I45" s="34">
        <f t="shared" ref="I45:AX45" si="27">SUM(I43:I44)</f>
        <v>184048.80000000002</v>
      </c>
      <c r="J45" s="34">
        <f t="shared" si="27"/>
        <v>46012.200000000004</v>
      </c>
      <c r="K45" s="34">
        <f t="shared" si="27"/>
        <v>230061.00000000003</v>
      </c>
      <c r="L45" s="34">
        <f t="shared" si="27"/>
        <v>460122.00000000006</v>
      </c>
      <c r="M45" s="34">
        <f t="shared" si="27"/>
        <v>0</v>
      </c>
      <c r="N45" s="34">
        <f t="shared" si="27"/>
        <v>0</v>
      </c>
      <c r="O45" s="34">
        <f t="shared" si="27"/>
        <v>2</v>
      </c>
      <c r="P45" s="34">
        <f t="shared" si="27"/>
        <v>0</v>
      </c>
      <c r="Q45" s="34">
        <f t="shared" si="27"/>
        <v>0</v>
      </c>
      <c r="R45" s="34">
        <f t="shared" si="27"/>
        <v>2</v>
      </c>
      <c r="S45" s="34">
        <f t="shared" si="27"/>
        <v>0</v>
      </c>
      <c r="T45" s="34">
        <f t="shared" si="27"/>
        <v>0</v>
      </c>
      <c r="U45" s="34">
        <f t="shared" si="27"/>
        <v>28757.625000000004</v>
      </c>
      <c r="V45" s="34">
        <f t="shared" si="27"/>
        <v>0</v>
      </c>
      <c r="W45" s="34">
        <f t="shared" si="27"/>
        <v>0</v>
      </c>
      <c r="X45" s="34">
        <f t="shared" si="27"/>
        <v>28757.625000000004</v>
      </c>
      <c r="Y45" s="34">
        <f t="shared" si="27"/>
        <v>0</v>
      </c>
      <c r="Z45" s="34">
        <f t="shared" si="27"/>
        <v>0</v>
      </c>
      <c r="AA45" s="34">
        <f t="shared" si="27"/>
        <v>0</v>
      </c>
      <c r="AB45" s="34">
        <f t="shared" si="27"/>
        <v>0</v>
      </c>
      <c r="AC45" s="34">
        <f t="shared" si="27"/>
        <v>0</v>
      </c>
      <c r="AD45" s="34">
        <f t="shared" si="27"/>
        <v>0</v>
      </c>
      <c r="AE45" s="34">
        <f t="shared" si="27"/>
        <v>65</v>
      </c>
      <c r="AF45" s="34">
        <f t="shared" si="27"/>
        <v>0</v>
      </c>
      <c r="AG45" s="34">
        <f t="shared" si="27"/>
        <v>0</v>
      </c>
      <c r="AH45" s="34">
        <f t="shared" si="27"/>
        <v>0</v>
      </c>
      <c r="AI45" s="34">
        <f t="shared" si="27"/>
        <v>0</v>
      </c>
      <c r="AJ45" s="34">
        <f t="shared" si="27"/>
        <v>0</v>
      </c>
      <c r="AK45" s="34">
        <f t="shared" si="27"/>
        <v>0</v>
      </c>
      <c r="AL45" s="34">
        <f t="shared" si="27"/>
        <v>0</v>
      </c>
      <c r="AM45" s="34">
        <f t="shared" si="27"/>
        <v>0</v>
      </c>
      <c r="AN45" s="34">
        <f t="shared" si="27"/>
        <v>0</v>
      </c>
      <c r="AO45" s="34">
        <f t="shared" si="27"/>
        <v>0</v>
      </c>
      <c r="AP45" s="34">
        <f t="shared" si="27"/>
        <v>0</v>
      </c>
      <c r="AQ45" s="34">
        <f t="shared" si="27"/>
        <v>0</v>
      </c>
      <c r="AR45" s="34">
        <f t="shared" si="27"/>
        <v>0</v>
      </c>
      <c r="AS45" s="34">
        <f t="shared" si="27"/>
        <v>0</v>
      </c>
      <c r="AT45" s="34">
        <f t="shared" si="27"/>
        <v>0</v>
      </c>
      <c r="AU45" s="34">
        <f t="shared" si="27"/>
        <v>0</v>
      </c>
      <c r="AV45" s="34">
        <f t="shared" si="27"/>
        <v>0</v>
      </c>
      <c r="AW45" s="34">
        <f t="shared" si="27"/>
        <v>0</v>
      </c>
      <c r="AX45" s="34">
        <f t="shared" si="27"/>
        <v>28757.625000000004</v>
      </c>
    </row>
    <row r="46" spans="1:50" s="3" customFormat="1" ht="33.75" customHeight="1" x14ac:dyDescent="0.45">
      <c r="A46" s="13"/>
      <c r="B46" s="148" t="s">
        <v>227</v>
      </c>
      <c r="C46" s="148"/>
      <c r="D46" s="148"/>
      <c r="E46" s="148" t="s">
        <v>241</v>
      </c>
      <c r="F46" s="148"/>
      <c r="G46" s="149"/>
      <c r="H46" s="148"/>
      <c r="I46" s="148"/>
      <c r="J46" s="148"/>
      <c r="K46" s="148"/>
      <c r="M46" s="148"/>
      <c r="N46" s="148"/>
      <c r="P46" s="148"/>
      <c r="Q46" s="148"/>
      <c r="W46" s="15"/>
      <c r="Y46" s="15"/>
      <c r="Z46" s="15"/>
      <c r="AA46" s="15"/>
      <c r="AB46" s="15"/>
      <c r="AD46" s="15"/>
      <c r="AE46" s="19"/>
      <c r="AF46" s="19"/>
      <c r="AG46" s="15"/>
      <c r="AH46" s="14"/>
      <c r="AI46" s="14"/>
      <c r="AJ46" s="15"/>
      <c r="AK46" s="15"/>
      <c r="AL46" s="15"/>
      <c r="AM46" s="15"/>
      <c r="AN46" s="15"/>
      <c r="AO46" s="51"/>
    </row>
    <row r="47" spans="1:50" s="3" customFormat="1" ht="34.5" hidden="1" x14ac:dyDescent="0.45">
      <c r="A47" s="6"/>
      <c r="B47" s="148" t="s">
        <v>228</v>
      </c>
      <c r="C47" s="148"/>
      <c r="D47" s="148"/>
      <c r="E47" s="227" t="s">
        <v>229</v>
      </c>
      <c r="F47" s="227"/>
      <c r="G47" s="149"/>
      <c r="H47" s="148"/>
      <c r="I47" s="148"/>
      <c r="J47" s="148" t="s">
        <v>230</v>
      </c>
      <c r="K47" s="148"/>
      <c r="L47" s="148" t="s">
        <v>235</v>
      </c>
      <c r="M47" s="148"/>
      <c r="N47" s="148"/>
      <c r="O47" s="148"/>
      <c r="P47" s="148"/>
      <c r="Q47" s="148"/>
      <c r="R47" s="147"/>
      <c r="S47" s="148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/>
      <c r="AF47" s="12"/>
      <c r="AG47" s="12"/>
      <c r="AH47" s="8"/>
      <c r="AI47" s="8"/>
      <c r="AJ47" s="11"/>
      <c r="AK47" s="11"/>
      <c r="AL47" s="11"/>
      <c r="AM47" s="11"/>
      <c r="AN47" s="11"/>
      <c r="AO47" s="11"/>
    </row>
    <row r="48" spans="1:50" ht="35.25" x14ac:dyDescent="0.5">
      <c r="A48" s="4"/>
      <c r="B48" s="148" t="s">
        <v>230</v>
      </c>
      <c r="C48" s="148"/>
      <c r="D48" s="148" t="s">
        <v>236</v>
      </c>
      <c r="E48" s="148"/>
      <c r="F48" s="23"/>
      <c r="G48" s="23"/>
      <c r="H48" s="23"/>
      <c r="I48" s="5"/>
      <c r="J48" s="15" t="s">
        <v>45</v>
      </c>
      <c r="K48" s="5"/>
      <c r="L48" s="5"/>
      <c r="M48" s="141" t="s">
        <v>108</v>
      </c>
      <c r="N48" s="4"/>
      <c r="O48" s="4"/>
      <c r="P48" s="4"/>
      <c r="Q48" s="4"/>
      <c r="R48" s="148" t="s">
        <v>231</v>
      </c>
      <c r="S48" s="148"/>
      <c r="T48" s="15"/>
      <c r="U48" s="227" t="s">
        <v>232</v>
      </c>
      <c r="V48" s="15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2:2" ht="35.25" x14ac:dyDescent="0.5">
      <c r="B49" s="4"/>
    </row>
  </sheetData>
  <mergeCells count="64">
    <mergeCell ref="AD5:AO5"/>
    <mergeCell ref="AD2:AO2"/>
    <mergeCell ref="AD3:AO3"/>
    <mergeCell ref="G4:O4"/>
    <mergeCell ref="T4:V4"/>
    <mergeCell ref="AD4:AO4"/>
    <mergeCell ref="AB6:AB7"/>
    <mergeCell ref="AC6:AC7"/>
    <mergeCell ref="AD6:AO7"/>
    <mergeCell ref="AP6:AP7"/>
    <mergeCell ref="AQ6:AQ7"/>
    <mergeCell ref="AD17:AO17"/>
    <mergeCell ref="AR6:AR7"/>
    <mergeCell ref="AS6:AS7"/>
    <mergeCell ref="AD8:AO8"/>
    <mergeCell ref="AD9:AO9"/>
    <mergeCell ref="AD10:AO10"/>
    <mergeCell ref="AD11:AO11"/>
    <mergeCell ref="AD12:AO12"/>
    <mergeCell ref="AD13:AO13"/>
    <mergeCell ref="AD14:AO14"/>
    <mergeCell ref="AD15:AO15"/>
    <mergeCell ref="AD16:AO16"/>
    <mergeCell ref="AD29:AO29"/>
    <mergeCell ref="AD18:AO18"/>
    <mergeCell ref="AD19:AO19"/>
    <mergeCell ref="AD20:AO20"/>
    <mergeCell ref="AD21:AO21"/>
    <mergeCell ref="AD22:AO22"/>
    <mergeCell ref="AD23:AO23"/>
    <mergeCell ref="AD24:AO24"/>
    <mergeCell ref="AD25:AO25"/>
    <mergeCell ref="AD26:AO26"/>
    <mergeCell ref="AD27:AO27"/>
    <mergeCell ref="AD28:AO28"/>
    <mergeCell ref="AD30:AO30"/>
    <mergeCell ref="AD31:AO31"/>
    <mergeCell ref="AB32:AO32"/>
    <mergeCell ref="M33:R33"/>
    <mergeCell ref="A41:A42"/>
    <mergeCell ref="B41:B42"/>
    <mergeCell ref="C41:C42"/>
    <mergeCell ref="D41:D42"/>
    <mergeCell ref="E41:E42"/>
    <mergeCell ref="F41:F42"/>
    <mergeCell ref="AD41:AF41"/>
    <mergeCell ref="G41:G42"/>
    <mergeCell ref="H41:H42"/>
    <mergeCell ref="I41:I42"/>
    <mergeCell ref="J41:J42"/>
    <mergeCell ref="K41:K42"/>
    <mergeCell ref="L41:L42"/>
    <mergeCell ref="M41:R41"/>
    <mergeCell ref="S41:V41"/>
    <mergeCell ref="X41:X42"/>
    <mergeCell ref="Y41:Y42"/>
    <mergeCell ref="AB41:AC41"/>
    <mergeCell ref="AG41:AG42"/>
    <mergeCell ref="AH41:AK41"/>
    <mergeCell ref="AX41:AX42"/>
    <mergeCell ref="AN42:AO42"/>
    <mergeCell ref="AQ42:AR42"/>
    <mergeCell ref="AS42:AT42"/>
    <mergeCell ref="AU42:AV42"/>
  </mergeCells>
  <pageMargins left="0.23622047244094491" right="0.23622047244094491" top="0.74803149606299213" bottom="0.74803149606299213" header="0.31496062992125984" footer="0.31496062992125984"/>
  <pageSetup paperSize="9" scale="27" firstPageNumber="0" orientation="landscape" horizontalDpi="300" verticalDpi="300" r:id="rId1"/>
  <headerFooter alignWithMargins="0"/>
  <colBreaks count="1" manualBreakCount="1">
    <brk id="33" max="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5"/>
  <sheetViews>
    <sheetView view="pageBreakPreview" topLeftCell="F16" zoomScale="80" zoomScaleNormal="80" zoomScaleSheetLayoutView="80" workbookViewId="0">
      <selection activeCell="AD32" sqref="AD32"/>
    </sheetView>
  </sheetViews>
  <sheetFormatPr defaultRowHeight="15.75" x14ac:dyDescent="0.25"/>
  <cols>
    <col min="1" max="1" width="9.140625" style="143"/>
    <col min="2" max="2" width="38" style="143" customWidth="1"/>
    <col min="3" max="3" width="20.7109375" style="143" customWidth="1"/>
    <col min="4" max="4" width="12" style="143" customWidth="1"/>
    <col min="5" max="5" width="13.140625" style="143" customWidth="1"/>
    <col min="6" max="6" width="8.7109375" style="143" customWidth="1"/>
    <col min="7" max="7" width="13.7109375" style="143" customWidth="1"/>
    <col min="8" max="8" width="12.28515625" style="144" customWidth="1"/>
    <col min="9" max="9" width="7.85546875" style="143" customWidth="1"/>
    <col min="10" max="12" width="13.7109375" style="143" customWidth="1"/>
    <col min="13" max="13" width="10.5703125" style="143" bestFit="1" customWidth="1"/>
    <col min="14" max="14" width="13.5703125" style="143" customWidth="1"/>
    <col min="15" max="16" width="17.42578125" style="143" customWidth="1"/>
    <col min="17" max="17" width="12.5703125" style="143" customWidth="1"/>
    <col min="18" max="18" width="9.140625" style="143"/>
    <col min="19" max="19" width="11.5703125" style="143" customWidth="1"/>
    <col min="20" max="20" width="7" style="143" customWidth="1"/>
    <col min="21" max="21" width="11.85546875" style="143" customWidth="1"/>
    <col min="22" max="22" width="7.5703125" style="143" customWidth="1"/>
    <col min="23" max="23" width="11.42578125" style="143" customWidth="1"/>
    <col min="24" max="24" width="7.85546875" style="143" customWidth="1"/>
    <col min="25" max="25" width="12.140625" style="143" customWidth="1"/>
    <col min="26" max="26" width="7.7109375" style="143" customWidth="1"/>
    <col min="27" max="27" width="11.28515625" style="143" customWidth="1"/>
    <col min="28" max="28" width="7" style="143" customWidth="1"/>
    <col min="29" max="30" width="12.7109375" style="143" customWidth="1"/>
    <col min="31" max="31" width="15.7109375" style="143" customWidth="1"/>
    <col min="32" max="32" width="16.85546875" style="143" customWidth="1"/>
    <col min="33" max="33" width="17.5703125" style="143" customWidth="1"/>
    <col min="34" max="16384" width="9.140625" style="143"/>
  </cols>
  <sheetData>
    <row r="1" spans="1:33" ht="18.75" x14ac:dyDescent="0.3">
      <c r="A1" s="180"/>
      <c r="B1" s="353"/>
      <c r="C1" s="353"/>
      <c r="D1" s="183"/>
      <c r="E1" s="184" t="s">
        <v>171</v>
      </c>
      <c r="F1" s="184"/>
      <c r="G1" s="183"/>
      <c r="H1" s="187"/>
      <c r="I1" s="186"/>
      <c r="J1" s="183"/>
      <c r="K1" s="183"/>
      <c r="L1" s="183"/>
      <c r="M1" s="183"/>
      <c r="N1" s="183"/>
      <c r="O1" s="183" t="s">
        <v>170</v>
      </c>
      <c r="P1" s="183"/>
      <c r="Q1" s="183"/>
      <c r="R1" s="183"/>
      <c r="S1" s="183"/>
      <c r="T1" s="180"/>
      <c r="U1" s="180"/>
      <c r="V1" s="180"/>
      <c r="W1" s="179"/>
    </row>
    <row r="2" spans="1:33" ht="18.75" x14ac:dyDescent="0.3">
      <c r="A2" s="180"/>
      <c r="B2" s="353"/>
      <c r="C2" s="353"/>
      <c r="D2" s="183"/>
      <c r="E2" s="184"/>
      <c r="F2" s="184"/>
      <c r="G2" s="183"/>
      <c r="H2" s="187"/>
      <c r="I2" s="186"/>
      <c r="J2" s="183"/>
      <c r="K2" s="183"/>
      <c r="L2" s="183"/>
      <c r="M2" s="183"/>
      <c r="N2" s="183"/>
      <c r="O2" s="183" t="s">
        <v>169</v>
      </c>
      <c r="P2" s="183"/>
      <c r="Q2" s="183"/>
      <c r="R2" s="183"/>
      <c r="S2" s="183"/>
      <c r="T2" s="180"/>
      <c r="U2" s="180"/>
      <c r="V2" s="180"/>
      <c r="W2" s="179"/>
    </row>
    <row r="3" spans="1:33" ht="36" customHeight="1" x14ac:dyDescent="0.3">
      <c r="A3" s="180"/>
      <c r="B3" s="353"/>
      <c r="C3" s="353"/>
      <c r="D3" s="183"/>
      <c r="E3" s="322" t="s">
        <v>209</v>
      </c>
      <c r="F3" s="323"/>
      <c r="G3" s="323"/>
      <c r="H3" s="323"/>
      <c r="I3" s="323"/>
      <c r="J3" s="323"/>
      <c r="K3" s="323"/>
      <c r="L3" s="323"/>
      <c r="M3" s="323"/>
      <c r="N3" s="183"/>
      <c r="O3" s="183" t="s">
        <v>168</v>
      </c>
      <c r="P3" s="183"/>
      <c r="Q3" s="324"/>
      <c r="R3" s="324"/>
      <c r="S3" s="324"/>
      <c r="T3" s="190"/>
      <c r="U3" s="190"/>
      <c r="V3" s="190"/>
      <c r="W3" s="190"/>
    </row>
    <row r="4" spans="1:33" ht="18.75" x14ac:dyDescent="0.3">
      <c r="A4" s="180"/>
      <c r="B4" s="353"/>
      <c r="C4" s="353"/>
      <c r="D4" s="183"/>
      <c r="E4" s="184"/>
      <c r="F4" s="184"/>
      <c r="G4" s="183"/>
      <c r="H4" s="187"/>
      <c r="I4" s="186"/>
      <c r="J4" s="183"/>
      <c r="K4" s="183"/>
      <c r="L4" s="183"/>
      <c r="M4" s="183"/>
      <c r="N4" s="183"/>
      <c r="W4" s="179"/>
    </row>
    <row r="5" spans="1:33" ht="18.75" x14ac:dyDescent="0.3">
      <c r="A5" s="180"/>
      <c r="B5" s="353"/>
      <c r="C5" s="353"/>
      <c r="D5" s="183"/>
      <c r="E5" s="189" t="s">
        <v>167</v>
      </c>
      <c r="F5" s="188"/>
      <c r="G5" s="179"/>
      <c r="H5" s="184" t="s">
        <v>210</v>
      </c>
      <c r="I5" s="183"/>
      <c r="J5" s="183"/>
      <c r="K5" s="183"/>
      <c r="L5" s="183"/>
      <c r="M5" s="183"/>
      <c r="N5" s="183"/>
      <c r="O5" s="183" t="s">
        <v>166</v>
      </c>
      <c r="P5" s="183"/>
      <c r="Q5" s="183" t="s">
        <v>165</v>
      </c>
      <c r="R5" s="183" t="s">
        <v>241</v>
      </c>
      <c r="S5" s="183"/>
      <c r="T5" s="180"/>
      <c r="V5" s="179"/>
      <c r="W5" s="179"/>
    </row>
    <row r="6" spans="1:33" ht="18.75" x14ac:dyDescent="0.3">
      <c r="A6" s="180"/>
      <c r="B6" s="353"/>
      <c r="C6" s="353"/>
      <c r="D6" s="183"/>
      <c r="E6" s="184"/>
      <c r="F6" s="184"/>
      <c r="G6" s="183"/>
      <c r="H6" s="187"/>
      <c r="I6" s="186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0"/>
      <c r="U6" s="180"/>
      <c r="V6" s="180"/>
      <c r="W6" s="179"/>
    </row>
    <row r="7" spans="1:33" ht="18.75" x14ac:dyDescent="0.3">
      <c r="A7" s="180"/>
      <c r="B7" s="353"/>
      <c r="C7" s="353"/>
      <c r="D7" s="183"/>
      <c r="E7" s="184" t="s">
        <v>285</v>
      </c>
      <c r="F7" s="184"/>
      <c r="G7" s="183"/>
      <c r="H7" s="187"/>
      <c r="I7" s="186"/>
      <c r="J7" s="183"/>
      <c r="K7" s="183"/>
      <c r="L7" s="183"/>
      <c r="M7" s="183"/>
      <c r="N7" s="183"/>
      <c r="O7" s="183" t="s">
        <v>286</v>
      </c>
      <c r="P7" s="183"/>
      <c r="Q7" s="183"/>
      <c r="R7" s="183"/>
      <c r="S7" s="183"/>
      <c r="T7" s="180"/>
      <c r="U7" s="180"/>
      <c r="V7" s="180"/>
      <c r="W7" s="179"/>
    </row>
    <row r="8" spans="1:33" ht="18.75" x14ac:dyDescent="0.3">
      <c r="A8" s="180"/>
      <c r="B8" s="353"/>
      <c r="C8" s="353"/>
      <c r="D8" s="180"/>
      <c r="E8" s="180"/>
      <c r="F8" s="180"/>
      <c r="G8" s="180"/>
      <c r="H8" s="182"/>
      <c r="I8" s="181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79"/>
    </row>
    <row r="9" spans="1:33" ht="18.75" x14ac:dyDescent="0.3">
      <c r="A9" s="180"/>
      <c r="B9" s="185"/>
      <c r="C9" s="185"/>
      <c r="D9" s="180"/>
      <c r="E9" s="180"/>
      <c r="F9" s="180"/>
      <c r="G9" s="180"/>
      <c r="H9" s="187" t="s">
        <v>164</v>
      </c>
      <c r="I9" s="186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79"/>
    </row>
    <row r="10" spans="1:33" ht="18.75" x14ac:dyDescent="0.3">
      <c r="A10" s="180"/>
      <c r="B10" s="184" t="s">
        <v>163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79"/>
      <c r="O10" s="179"/>
      <c r="P10" s="179"/>
      <c r="Q10" s="179"/>
      <c r="R10" s="179"/>
      <c r="S10" s="183"/>
      <c r="T10" s="179"/>
      <c r="U10" s="179"/>
      <c r="V10" s="180"/>
      <c r="W10" s="179"/>
    </row>
    <row r="11" spans="1:33" ht="18.75" x14ac:dyDescent="0.3">
      <c r="A11" s="180"/>
      <c r="B11" s="185"/>
      <c r="C11" s="184"/>
      <c r="D11" s="183"/>
      <c r="E11" s="183"/>
      <c r="F11" s="183"/>
      <c r="G11" s="183"/>
      <c r="H11" s="182"/>
      <c r="I11" s="181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79"/>
    </row>
    <row r="12" spans="1:33" ht="19.5" thickBot="1" x14ac:dyDescent="0.35">
      <c r="A12" s="180"/>
      <c r="B12" s="184" t="s">
        <v>223</v>
      </c>
      <c r="C12" s="184"/>
      <c r="D12" s="183" t="s">
        <v>69</v>
      </c>
      <c r="E12" s="183"/>
      <c r="F12" s="183">
        <v>267</v>
      </c>
      <c r="G12" s="183"/>
      <c r="H12" s="182"/>
      <c r="I12" s="181"/>
      <c r="J12" s="180"/>
      <c r="K12" s="180"/>
      <c r="L12" s="180"/>
      <c r="M12" s="180"/>
      <c r="N12" s="180"/>
      <c r="O12" s="180"/>
      <c r="P12" s="180"/>
      <c r="Q12" s="351">
        <v>45536</v>
      </c>
      <c r="R12" s="352"/>
      <c r="S12" s="352"/>
      <c r="W12" s="179"/>
    </row>
    <row r="15" spans="1:33" x14ac:dyDescent="0.25">
      <c r="A15" s="151"/>
      <c r="B15" s="151"/>
      <c r="C15" s="151"/>
      <c r="D15" s="151"/>
      <c r="E15" s="151"/>
      <c r="F15" s="151"/>
      <c r="G15" s="178" t="s">
        <v>162</v>
      </c>
      <c r="H15" s="177">
        <v>17697</v>
      </c>
      <c r="I15" s="151"/>
      <c r="J15" s="350"/>
      <c r="K15" s="350"/>
      <c r="L15" s="350"/>
      <c r="M15" s="350"/>
      <c r="N15" s="350"/>
      <c r="O15" s="176"/>
      <c r="P15" s="176"/>
      <c r="Q15" s="176"/>
      <c r="R15" s="175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</row>
    <row r="16" spans="1:33" ht="18" customHeight="1" x14ac:dyDescent="0.25">
      <c r="A16" s="332" t="s">
        <v>161</v>
      </c>
      <c r="B16" s="332" t="s">
        <v>160</v>
      </c>
      <c r="C16" s="332" t="s">
        <v>159</v>
      </c>
      <c r="D16" s="332" t="s">
        <v>158</v>
      </c>
      <c r="E16" s="354" t="s">
        <v>157</v>
      </c>
      <c r="F16" s="354"/>
      <c r="G16" s="335" t="s">
        <v>156</v>
      </c>
      <c r="H16" s="345" t="s">
        <v>155</v>
      </c>
      <c r="I16" s="340" t="s">
        <v>154</v>
      </c>
      <c r="J16" s="332" t="s">
        <v>153</v>
      </c>
      <c r="K16" s="174"/>
      <c r="L16" s="174"/>
      <c r="M16" s="340" t="s">
        <v>152</v>
      </c>
      <c r="N16" s="341"/>
      <c r="O16" s="335" t="s">
        <v>151</v>
      </c>
      <c r="P16" s="174"/>
      <c r="Q16" s="174"/>
      <c r="S16" s="173"/>
      <c r="T16" s="173"/>
      <c r="U16" s="338" t="s">
        <v>150</v>
      </c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172"/>
      <c r="AG16" s="332" t="s">
        <v>149</v>
      </c>
    </row>
    <row r="17" spans="1:33" s="167" customFormat="1" ht="96.75" customHeight="1" x14ac:dyDescent="0.25">
      <c r="A17" s="332"/>
      <c r="B17" s="332"/>
      <c r="C17" s="332"/>
      <c r="D17" s="332"/>
      <c r="E17" s="332" t="s">
        <v>148</v>
      </c>
      <c r="F17" s="332" t="s">
        <v>147</v>
      </c>
      <c r="G17" s="337"/>
      <c r="H17" s="346"/>
      <c r="I17" s="348"/>
      <c r="J17" s="332"/>
      <c r="K17" s="348" t="s">
        <v>188</v>
      </c>
      <c r="L17" s="349"/>
      <c r="M17" s="342"/>
      <c r="N17" s="343"/>
      <c r="O17" s="337"/>
      <c r="P17" s="348" t="s">
        <v>146</v>
      </c>
      <c r="Q17" s="349"/>
      <c r="R17" s="332" t="s">
        <v>145</v>
      </c>
      <c r="S17" s="332"/>
      <c r="T17" s="344" t="s">
        <v>144</v>
      </c>
      <c r="U17" s="344"/>
      <c r="V17" s="344">
        <v>0.3</v>
      </c>
      <c r="W17" s="344"/>
      <c r="X17" s="344" t="s">
        <v>143</v>
      </c>
      <c r="Y17" s="344"/>
      <c r="Z17" s="344" t="s">
        <v>142</v>
      </c>
      <c r="AA17" s="344"/>
      <c r="AB17" s="332" t="s">
        <v>141</v>
      </c>
      <c r="AC17" s="332"/>
      <c r="AD17" s="333" t="s">
        <v>140</v>
      </c>
      <c r="AE17" s="334"/>
      <c r="AF17" s="335" t="s">
        <v>139</v>
      </c>
      <c r="AG17" s="332"/>
    </row>
    <row r="18" spans="1:33" s="167" customFormat="1" ht="54" customHeight="1" x14ac:dyDescent="0.25">
      <c r="A18" s="332"/>
      <c r="B18" s="332"/>
      <c r="C18" s="332"/>
      <c r="D18" s="332"/>
      <c r="E18" s="332"/>
      <c r="F18" s="332"/>
      <c r="G18" s="336"/>
      <c r="H18" s="347"/>
      <c r="I18" s="342"/>
      <c r="J18" s="332"/>
      <c r="K18" s="342"/>
      <c r="L18" s="343"/>
      <c r="M18" s="171" t="s">
        <v>138</v>
      </c>
      <c r="N18" s="170" t="s">
        <v>136</v>
      </c>
      <c r="O18" s="336"/>
      <c r="P18" s="169"/>
      <c r="Q18" s="169"/>
      <c r="R18" s="168" t="s">
        <v>137</v>
      </c>
      <c r="S18" s="168" t="s">
        <v>133</v>
      </c>
      <c r="T18" s="168" t="s">
        <v>137</v>
      </c>
      <c r="U18" s="168" t="s">
        <v>133</v>
      </c>
      <c r="V18" s="168" t="s">
        <v>137</v>
      </c>
      <c r="W18" s="168" t="s">
        <v>133</v>
      </c>
      <c r="X18" s="168" t="s">
        <v>35</v>
      </c>
      <c r="Y18" s="168" t="s">
        <v>136</v>
      </c>
      <c r="Z18" s="168" t="s">
        <v>135</v>
      </c>
      <c r="AA18" s="168" t="s">
        <v>133</v>
      </c>
      <c r="AB18" s="168" t="s">
        <v>135</v>
      </c>
      <c r="AC18" s="168" t="s">
        <v>133</v>
      </c>
      <c r="AD18" s="168" t="s">
        <v>134</v>
      </c>
      <c r="AE18" s="168" t="s">
        <v>133</v>
      </c>
      <c r="AF18" s="336"/>
      <c r="AG18" s="332"/>
    </row>
    <row r="19" spans="1:33" x14ac:dyDescent="0.25">
      <c r="A19" s="166">
        <v>1</v>
      </c>
      <c r="B19" s="166">
        <v>2</v>
      </c>
      <c r="C19" s="166">
        <v>3</v>
      </c>
      <c r="D19" s="166">
        <v>4</v>
      </c>
      <c r="E19" s="166">
        <v>5</v>
      </c>
      <c r="F19" s="166">
        <v>6</v>
      </c>
      <c r="G19" s="166">
        <v>7</v>
      </c>
      <c r="H19" s="166">
        <v>8</v>
      </c>
      <c r="I19" s="166">
        <v>9</v>
      </c>
      <c r="J19" s="166">
        <v>10</v>
      </c>
      <c r="K19" s="166"/>
      <c r="L19" s="166"/>
      <c r="M19" s="166">
        <v>11</v>
      </c>
      <c r="N19" s="166">
        <v>12</v>
      </c>
      <c r="O19" s="166">
        <v>13</v>
      </c>
      <c r="P19" s="166"/>
      <c r="Q19" s="166"/>
      <c r="R19" s="166">
        <v>14</v>
      </c>
      <c r="S19" s="166">
        <v>15</v>
      </c>
      <c r="T19" s="166">
        <v>16</v>
      </c>
      <c r="U19" s="166">
        <v>17</v>
      </c>
      <c r="V19" s="166">
        <v>18</v>
      </c>
      <c r="W19" s="166">
        <v>19</v>
      </c>
      <c r="X19" s="166">
        <v>20</v>
      </c>
      <c r="Y19" s="166">
        <v>21</v>
      </c>
      <c r="Z19" s="166">
        <v>22</v>
      </c>
      <c r="AA19" s="166">
        <v>23</v>
      </c>
      <c r="AB19" s="166">
        <v>24</v>
      </c>
      <c r="AC19" s="166">
        <v>25</v>
      </c>
      <c r="AD19" s="166"/>
      <c r="AE19" s="166">
        <v>26</v>
      </c>
      <c r="AF19" s="166">
        <v>27</v>
      </c>
      <c r="AG19" s="166">
        <v>28</v>
      </c>
    </row>
    <row r="20" spans="1:33" ht="18.75" x14ac:dyDescent="0.3">
      <c r="A20" s="166">
        <v>1</v>
      </c>
      <c r="B20" s="250" t="s">
        <v>273</v>
      </c>
      <c r="C20" s="161" t="s">
        <v>132</v>
      </c>
      <c r="D20" s="161" t="s">
        <v>123</v>
      </c>
      <c r="E20" s="162" t="s">
        <v>131</v>
      </c>
      <c r="F20" s="161"/>
      <c r="G20" s="197">
        <v>21</v>
      </c>
      <c r="H20" s="199">
        <v>6.05</v>
      </c>
      <c r="I20" s="161">
        <v>1</v>
      </c>
      <c r="J20" s="153">
        <f t="shared" ref="J20:J45" si="0">$H$15*H20*I20</f>
        <v>107066.84999999999</v>
      </c>
      <c r="K20" s="153">
        <v>100</v>
      </c>
      <c r="L20" s="153">
        <f>(J20*K20)/100</f>
        <v>107066.85</v>
      </c>
      <c r="M20" s="161">
        <v>25</v>
      </c>
      <c r="N20" s="153">
        <f t="shared" ref="N20:N25" si="1">(J20+L20)*25%</f>
        <v>53533.425000000003</v>
      </c>
      <c r="O20" s="153">
        <f t="shared" ref="O20:O44" si="2">J20+L20+N20</f>
        <v>267667.125</v>
      </c>
      <c r="P20" s="153"/>
      <c r="Q20" s="153"/>
      <c r="R20" s="161"/>
      <c r="S20" s="161">
        <f>SUM($H$15*0.2)*R20</f>
        <v>0</v>
      </c>
      <c r="T20" s="161"/>
      <c r="U20" s="161">
        <f>$H$15*0.2*T20</f>
        <v>0</v>
      </c>
      <c r="V20" s="153"/>
      <c r="W20" s="161">
        <f>$H$15*0.3*V20</f>
        <v>0</v>
      </c>
      <c r="X20" s="161"/>
      <c r="Y20" s="161">
        <f>SUM($H$15*X20/100)</f>
        <v>0</v>
      </c>
      <c r="Z20" s="161"/>
      <c r="AA20" s="161">
        <f>SUM($H$15*H20/168*24)/6*Z20</f>
        <v>0</v>
      </c>
      <c r="AB20" s="161"/>
      <c r="AC20" s="161">
        <f>SUM($H$15*H20*I20*0.5/168*8)*AB20</f>
        <v>0</v>
      </c>
      <c r="AD20" s="161">
        <v>1</v>
      </c>
      <c r="AE20" s="153">
        <f t="shared" ref="AE20:AE29" si="3">O20*10%</f>
        <v>26766.712500000001</v>
      </c>
      <c r="AF20" s="156">
        <f t="shared" ref="AF20:AF31" si="4">SUM(Q20,S20,U20,W20,AA20,Y20,AE20,AC20)</f>
        <v>26766.712500000001</v>
      </c>
      <c r="AG20" s="156">
        <f t="shared" ref="AG20:AG31" si="5">SUM(O20+AF20)</f>
        <v>294433.83750000002</v>
      </c>
    </row>
    <row r="21" spans="1:33" ht="18.75" x14ac:dyDescent="0.3">
      <c r="A21" s="166">
        <v>2</v>
      </c>
      <c r="B21" s="250" t="s">
        <v>82</v>
      </c>
      <c r="C21" s="161" t="s">
        <v>130</v>
      </c>
      <c r="D21" s="161" t="s">
        <v>123</v>
      </c>
      <c r="E21" s="162" t="s">
        <v>128</v>
      </c>
      <c r="F21" s="161">
        <v>3</v>
      </c>
      <c r="G21" s="197">
        <v>32</v>
      </c>
      <c r="H21" s="199">
        <v>5.91</v>
      </c>
      <c r="I21" s="161">
        <v>1</v>
      </c>
      <c r="J21" s="153">
        <f t="shared" si="0"/>
        <v>104589.27</v>
      </c>
      <c r="K21" s="153">
        <v>100</v>
      </c>
      <c r="L21" s="153">
        <f t="shared" ref="L21:L45" si="6">(J21*K21)/100</f>
        <v>104589.27</v>
      </c>
      <c r="M21" s="161">
        <v>25</v>
      </c>
      <c r="N21" s="153">
        <f t="shared" si="1"/>
        <v>52294.635000000002</v>
      </c>
      <c r="O21" s="153">
        <f t="shared" si="2"/>
        <v>261473.17500000002</v>
      </c>
      <c r="P21" s="153">
        <v>30</v>
      </c>
      <c r="Q21" s="153">
        <f>SUM(O21*P21)/100</f>
        <v>78441.952500000014</v>
      </c>
      <c r="R21" s="161"/>
      <c r="S21" s="161"/>
      <c r="T21" s="161"/>
      <c r="U21" s="161">
        <f>$H$15*0.2*T21</f>
        <v>0</v>
      </c>
      <c r="V21" s="153"/>
      <c r="W21" s="161">
        <f>$H$15*0.3*V21</f>
        <v>0</v>
      </c>
      <c r="X21" s="161"/>
      <c r="Y21" s="161">
        <f>SUM($H$15*X21/100)</f>
        <v>0</v>
      </c>
      <c r="Z21" s="161"/>
      <c r="AA21" s="161">
        <f>SUM($H$15*H21/168*24)/6*Z21</f>
        <v>0</v>
      </c>
      <c r="AB21" s="161"/>
      <c r="AC21" s="161">
        <f>SUM($H$15*H21*I21*0.5/168*8)*AB21</f>
        <v>0</v>
      </c>
      <c r="AD21" s="161">
        <v>1</v>
      </c>
      <c r="AE21" s="153">
        <f t="shared" si="3"/>
        <v>26147.317500000005</v>
      </c>
      <c r="AF21" s="156">
        <f t="shared" si="4"/>
        <v>104589.27000000002</v>
      </c>
      <c r="AG21" s="156">
        <f t="shared" si="5"/>
        <v>366062.44500000007</v>
      </c>
    </row>
    <row r="22" spans="1:33" ht="18.75" x14ac:dyDescent="0.3">
      <c r="A22" s="166">
        <v>3</v>
      </c>
      <c r="B22" s="250" t="s">
        <v>87</v>
      </c>
      <c r="C22" s="161" t="s">
        <v>129</v>
      </c>
      <c r="D22" s="161" t="s">
        <v>123</v>
      </c>
      <c r="E22" s="162" t="s">
        <v>128</v>
      </c>
      <c r="F22" s="161"/>
      <c r="G22" s="197">
        <v>43</v>
      </c>
      <c r="H22" s="199">
        <v>5.91</v>
      </c>
      <c r="I22" s="161">
        <v>0.5</v>
      </c>
      <c r="J22" s="153">
        <f t="shared" si="0"/>
        <v>52294.635000000002</v>
      </c>
      <c r="K22" s="153">
        <v>100</v>
      </c>
      <c r="L22" s="153">
        <f t="shared" si="6"/>
        <v>52294.635000000002</v>
      </c>
      <c r="M22" s="161">
        <v>25</v>
      </c>
      <c r="N22" s="153">
        <f t="shared" si="1"/>
        <v>26147.317500000001</v>
      </c>
      <c r="O22" s="153">
        <f t="shared" si="2"/>
        <v>130736.58750000001</v>
      </c>
      <c r="P22" s="153"/>
      <c r="Q22" s="153"/>
      <c r="R22" s="161"/>
      <c r="S22" s="161">
        <f>SUM($H$15*0.2)*R22</f>
        <v>0</v>
      </c>
      <c r="T22" s="161"/>
      <c r="U22" s="161">
        <f>$H$15*0.2*T22</f>
        <v>0</v>
      </c>
      <c r="V22" s="153"/>
      <c r="W22" s="161">
        <f>$H$15*0.3*V22</f>
        <v>0</v>
      </c>
      <c r="X22" s="161"/>
      <c r="Y22" s="161">
        <f>SUM($H$15*X22/100)</f>
        <v>0</v>
      </c>
      <c r="Z22" s="161"/>
      <c r="AA22" s="161">
        <f>SUM($H$15*H22/168*24)/6*Z22</f>
        <v>0</v>
      </c>
      <c r="AB22" s="161"/>
      <c r="AC22" s="161">
        <f>SUM($H$15*H22*I22*0.5/168*8)*AB22</f>
        <v>0</v>
      </c>
      <c r="AD22" s="161">
        <v>0.5</v>
      </c>
      <c r="AE22" s="153"/>
      <c r="AF22" s="156">
        <f t="shared" si="4"/>
        <v>0</v>
      </c>
      <c r="AG22" s="156">
        <f t="shared" si="5"/>
        <v>130736.58750000001</v>
      </c>
    </row>
    <row r="23" spans="1:33" ht="18.75" x14ac:dyDescent="0.3">
      <c r="A23" s="166">
        <v>4</v>
      </c>
      <c r="B23" s="250" t="s">
        <v>182</v>
      </c>
      <c r="C23" s="161" t="s">
        <v>129</v>
      </c>
      <c r="D23" s="161" t="s">
        <v>123</v>
      </c>
      <c r="E23" s="162" t="s">
        <v>128</v>
      </c>
      <c r="F23" s="161"/>
      <c r="G23" s="197">
        <v>15.06</v>
      </c>
      <c r="H23" s="199">
        <v>5.72</v>
      </c>
      <c r="I23" s="161">
        <v>0.5</v>
      </c>
      <c r="J23" s="153">
        <f t="shared" ref="J23" si="7">$H$15*H23*I23</f>
        <v>50613.42</v>
      </c>
      <c r="K23" s="153">
        <v>101</v>
      </c>
      <c r="L23" s="153">
        <f t="shared" ref="L23" si="8">(J23*K23)/100</f>
        <v>51119.554199999999</v>
      </c>
      <c r="M23" s="161">
        <v>25</v>
      </c>
      <c r="N23" s="153">
        <f t="shared" ref="N23" si="9">(J23+L23)*25%</f>
        <v>25433.243549999999</v>
      </c>
      <c r="O23" s="153">
        <f t="shared" ref="O23" si="10">J23+L23+N23</f>
        <v>127166.21775</v>
      </c>
      <c r="P23" s="153"/>
      <c r="Q23" s="153"/>
      <c r="R23" s="161"/>
      <c r="S23" s="161"/>
      <c r="T23" s="161"/>
      <c r="U23" s="161"/>
      <c r="V23" s="153"/>
      <c r="W23" s="161"/>
      <c r="X23" s="161"/>
      <c r="Y23" s="161"/>
      <c r="Z23" s="161"/>
      <c r="AA23" s="161"/>
      <c r="AB23" s="161"/>
      <c r="AC23" s="161"/>
      <c r="AD23" s="161">
        <v>0.5</v>
      </c>
      <c r="AE23" s="153"/>
      <c r="AF23" s="156">
        <f t="shared" ref="AF23" si="11">SUM(Q23,S23,U23,W23,AA23,Y23,AE23,AC23)</f>
        <v>0</v>
      </c>
      <c r="AG23" s="156">
        <f t="shared" ref="AG23" si="12">SUM(O23+AF23)</f>
        <v>127166.21775</v>
      </c>
    </row>
    <row r="24" spans="1:33" ht="37.5" x14ac:dyDescent="0.3">
      <c r="A24" s="166">
        <v>5</v>
      </c>
      <c r="B24" s="251" t="s">
        <v>190</v>
      </c>
      <c r="C24" s="119" t="s">
        <v>127</v>
      </c>
      <c r="D24" s="161" t="s">
        <v>10</v>
      </c>
      <c r="E24" s="195" t="s">
        <v>196</v>
      </c>
      <c r="F24" s="119"/>
      <c r="G24" s="198">
        <v>9.01</v>
      </c>
      <c r="H24" s="200">
        <v>4.33</v>
      </c>
      <c r="I24" s="119">
        <v>1</v>
      </c>
      <c r="J24" s="193">
        <f t="shared" si="0"/>
        <v>76628.009999999995</v>
      </c>
      <c r="K24" s="153">
        <v>100</v>
      </c>
      <c r="L24" s="153">
        <f t="shared" si="6"/>
        <v>76628.009999999995</v>
      </c>
      <c r="M24" s="117">
        <v>25</v>
      </c>
      <c r="N24" s="194">
        <f t="shared" si="1"/>
        <v>38314.004999999997</v>
      </c>
      <c r="O24" s="194">
        <f t="shared" si="2"/>
        <v>191570.02499999999</v>
      </c>
      <c r="P24" s="194"/>
      <c r="Q24" s="194"/>
      <c r="R24" s="117"/>
      <c r="S24" s="117">
        <f t="shared" ref="S24" si="13">SUM($H$15*0.2)*R24</f>
        <v>0</v>
      </c>
      <c r="T24" s="117"/>
      <c r="U24" s="117">
        <f t="shared" ref="U24" si="14">$H$15*0.2*T24</f>
        <v>0</v>
      </c>
      <c r="V24" s="194"/>
      <c r="W24" s="117">
        <f t="shared" ref="W24:W25" si="15">$H$15*0.3*V24</f>
        <v>0</v>
      </c>
      <c r="X24" s="117"/>
      <c r="Y24" s="117">
        <f t="shared" ref="Y24" si="16">SUM($H$15*X24/100)</f>
        <v>0</v>
      </c>
      <c r="Z24" s="117"/>
      <c r="AA24" s="117">
        <f t="shared" ref="AA24:AA41" si="17">SUM($H$15*H24/168*24)/6*Z24</f>
        <v>0</v>
      </c>
      <c r="AB24" s="117"/>
      <c r="AC24" s="117">
        <f t="shared" ref="AC24:AC29" si="18">SUM($H$15*H24*I24*0.5/168*8)*AB24</f>
        <v>0</v>
      </c>
      <c r="AD24" s="119">
        <v>1</v>
      </c>
      <c r="AE24" s="194">
        <f t="shared" si="3"/>
        <v>19157.002499999999</v>
      </c>
      <c r="AF24" s="156">
        <f t="shared" si="4"/>
        <v>19157.002499999999</v>
      </c>
      <c r="AG24" s="156">
        <f t="shared" si="5"/>
        <v>210727.0275</v>
      </c>
    </row>
    <row r="25" spans="1:33" ht="48" x14ac:dyDescent="0.3">
      <c r="A25" s="166">
        <v>6</v>
      </c>
      <c r="B25" s="251" t="s">
        <v>126</v>
      </c>
      <c r="C25" s="117" t="s">
        <v>125</v>
      </c>
      <c r="D25" s="117" t="s">
        <v>123</v>
      </c>
      <c r="E25" s="196" t="s">
        <v>25</v>
      </c>
      <c r="F25" s="117" t="s">
        <v>115</v>
      </c>
      <c r="G25" s="198">
        <v>15</v>
      </c>
      <c r="H25" s="200">
        <v>4.9000000000000004</v>
      </c>
      <c r="I25" s="117">
        <v>1</v>
      </c>
      <c r="J25" s="193">
        <f t="shared" si="0"/>
        <v>86715.3</v>
      </c>
      <c r="K25" s="153">
        <v>100</v>
      </c>
      <c r="L25" s="153">
        <f t="shared" si="6"/>
        <v>86715.3</v>
      </c>
      <c r="M25" s="117">
        <v>25</v>
      </c>
      <c r="N25" s="194">
        <f t="shared" si="1"/>
        <v>43357.65</v>
      </c>
      <c r="O25" s="194">
        <f t="shared" si="2"/>
        <v>216788.25</v>
      </c>
      <c r="P25" s="194">
        <v>30</v>
      </c>
      <c r="Q25" s="153">
        <f>SUM(O25*P25)/100</f>
        <v>65036.474999999999</v>
      </c>
      <c r="R25" s="117"/>
      <c r="S25" s="117">
        <f t="shared" ref="S25" si="19">SUM($H$15*0.2)*R25</f>
        <v>0</v>
      </c>
      <c r="T25" s="117"/>
      <c r="U25" s="117">
        <f>$H$15*0.2*T25</f>
        <v>0</v>
      </c>
      <c r="V25" s="194"/>
      <c r="W25" s="117">
        <f t="shared" si="15"/>
        <v>0</v>
      </c>
      <c r="X25" s="117"/>
      <c r="Y25" s="117">
        <f t="shared" ref="Y25" si="20">SUM($H$15*X25/100)</f>
        <v>0</v>
      </c>
      <c r="Z25" s="117"/>
      <c r="AA25" s="117">
        <f t="shared" si="17"/>
        <v>0</v>
      </c>
      <c r="AB25" s="117"/>
      <c r="AC25" s="117">
        <f t="shared" si="18"/>
        <v>0</v>
      </c>
      <c r="AD25" s="117">
        <v>1</v>
      </c>
      <c r="AE25" s="194">
        <f t="shared" si="3"/>
        <v>21678.825000000001</v>
      </c>
      <c r="AF25" s="156">
        <f t="shared" si="4"/>
        <v>86715.3</v>
      </c>
      <c r="AG25" s="156">
        <f t="shared" si="5"/>
        <v>303503.55</v>
      </c>
    </row>
    <row r="26" spans="1:33" ht="37.5" x14ac:dyDescent="0.3">
      <c r="A26" s="207">
        <v>7</v>
      </c>
      <c r="B26" s="252" t="s">
        <v>194</v>
      </c>
      <c r="C26" s="117" t="s">
        <v>274</v>
      </c>
      <c r="D26" s="117" t="s">
        <v>123</v>
      </c>
      <c r="E26" s="196" t="s">
        <v>283</v>
      </c>
      <c r="F26" s="117"/>
      <c r="G26" s="198">
        <v>8.09</v>
      </c>
      <c r="H26" s="200">
        <v>3.85</v>
      </c>
      <c r="I26" s="117">
        <v>0.5</v>
      </c>
      <c r="J26" s="193">
        <f t="shared" si="0"/>
        <v>34066.724999999999</v>
      </c>
      <c r="K26" s="153">
        <v>100</v>
      </c>
      <c r="L26" s="153">
        <f t="shared" ref="L26:L28" si="21">(J26*K26)/100</f>
        <v>34066.724999999999</v>
      </c>
      <c r="M26" s="117">
        <v>25</v>
      </c>
      <c r="N26" s="194">
        <f t="shared" ref="N26:N28" si="22">(J26+L26)*25%</f>
        <v>17033.362499999999</v>
      </c>
      <c r="O26" s="194">
        <f t="shared" ref="O26:O28" si="23">J26+L26+N26</f>
        <v>85166.8125</v>
      </c>
      <c r="P26" s="194"/>
      <c r="Q26" s="153"/>
      <c r="R26" s="117"/>
      <c r="S26" s="117"/>
      <c r="T26" s="117"/>
      <c r="U26" s="117"/>
      <c r="V26" s="194"/>
      <c r="W26" s="117"/>
      <c r="X26" s="117"/>
      <c r="Y26" s="117"/>
      <c r="Z26" s="117"/>
      <c r="AA26" s="117">
        <f t="shared" si="17"/>
        <v>0</v>
      </c>
      <c r="AB26" s="117"/>
      <c r="AC26" s="117">
        <f t="shared" si="18"/>
        <v>0</v>
      </c>
      <c r="AD26" s="117">
        <v>0.5</v>
      </c>
      <c r="AE26" s="194"/>
      <c r="AF26" s="156">
        <f t="shared" ref="AF26:AF28" si="24">SUM(Q26,S26,U26,W26,AA26,Y26,AE26,AC26)</f>
        <v>0</v>
      </c>
      <c r="AG26" s="156">
        <f t="shared" ref="AG26:AG28" si="25">SUM(O26+AF26)</f>
        <v>85166.8125</v>
      </c>
    </row>
    <row r="27" spans="1:33" ht="37.5" x14ac:dyDescent="0.25">
      <c r="A27" s="166">
        <v>8</v>
      </c>
      <c r="B27" s="246" t="s">
        <v>193</v>
      </c>
      <c r="C27" s="117" t="s">
        <v>274</v>
      </c>
      <c r="D27" s="117" t="s">
        <v>123</v>
      </c>
      <c r="E27" s="196" t="s">
        <v>196</v>
      </c>
      <c r="F27" s="117"/>
      <c r="G27" s="198">
        <v>5.08</v>
      </c>
      <c r="H27" s="200">
        <v>3.78</v>
      </c>
      <c r="I27" s="117">
        <v>0.5</v>
      </c>
      <c r="J27" s="193">
        <f t="shared" si="0"/>
        <v>33447.33</v>
      </c>
      <c r="K27" s="153">
        <v>100</v>
      </c>
      <c r="L27" s="153">
        <f t="shared" si="21"/>
        <v>33447.33</v>
      </c>
      <c r="M27" s="117">
        <v>25</v>
      </c>
      <c r="N27" s="194">
        <f t="shared" si="22"/>
        <v>16723.665000000001</v>
      </c>
      <c r="O27" s="194">
        <f t="shared" si="23"/>
        <v>83618.325000000012</v>
      </c>
      <c r="P27" s="194"/>
      <c r="Q27" s="153"/>
      <c r="R27" s="117"/>
      <c r="S27" s="117"/>
      <c r="T27" s="117"/>
      <c r="U27" s="117"/>
      <c r="V27" s="194"/>
      <c r="W27" s="117"/>
      <c r="X27" s="117"/>
      <c r="Y27" s="117"/>
      <c r="Z27" s="117"/>
      <c r="AA27" s="117">
        <f t="shared" si="17"/>
        <v>0</v>
      </c>
      <c r="AB27" s="117"/>
      <c r="AC27" s="117">
        <f t="shared" si="18"/>
        <v>0</v>
      </c>
      <c r="AD27" s="117">
        <v>0.5</v>
      </c>
      <c r="AE27" s="194"/>
      <c r="AF27" s="156">
        <f t="shared" si="24"/>
        <v>0</v>
      </c>
      <c r="AG27" s="156">
        <f t="shared" si="25"/>
        <v>83618.325000000012</v>
      </c>
    </row>
    <row r="28" spans="1:33" ht="18.75" x14ac:dyDescent="0.3">
      <c r="A28" s="244">
        <v>9</v>
      </c>
      <c r="B28" s="253" t="s">
        <v>185</v>
      </c>
      <c r="C28" s="117" t="s">
        <v>224</v>
      </c>
      <c r="D28" s="117" t="s">
        <v>10</v>
      </c>
      <c r="E28" s="196" t="s">
        <v>26</v>
      </c>
      <c r="F28" s="117"/>
      <c r="G28" s="198" t="s">
        <v>216</v>
      </c>
      <c r="H28" s="200">
        <v>4.0999999999999996</v>
      </c>
      <c r="I28" s="117">
        <v>1</v>
      </c>
      <c r="J28" s="193">
        <f t="shared" ref="J28" si="26">$H$15*H28*I28</f>
        <v>72557.7</v>
      </c>
      <c r="K28" s="153">
        <v>100</v>
      </c>
      <c r="L28" s="153">
        <f t="shared" si="21"/>
        <v>72557.7</v>
      </c>
      <c r="M28" s="117">
        <v>25</v>
      </c>
      <c r="N28" s="194">
        <f t="shared" si="22"/>
        <v>36278.85</v>
      </c>
      <c r="O28" s="194">
        <f t="shared" si="23"/>
        <v>181394.25</v>
      </c>
      <c r="P28" s="194"/>
      <c r="Q28" s="194"/>
      <c r="R28" s="117"/>
      <c r="S28" s="117"/>
      <c r="T28" s="117"/>
      <c r="U28" s="117"/>
      <c r="V28" s="194"/>
      <c r="W28" s="117"/>
      <c r="X28" s="117"/>
      <c r="Y28" s="117"/>
      <c r="Z28" s="117"/>
      <c r="AA28" s="117">
        <f t="shared" ref="AA28" si="27">SUM($H$15*H28/168*24)/6*Z28</f>
        <v>0</v>
      </c>
      <c r="AB28" s="117"/>
      <c r="AC28" s="117">
        <f t="shared" ref="AC28" si="28">SUM($H$15*H28*I28*0.5/168*8)*AB28</f>
        <v>0</v>
      </c>
      <c r="AD28" s="117">
        <v>1</v>
      </c>
      <c r="AE28" s="194">
        <f t="shared" ref="AE28" si="29">O28*10%</f>
        <v>18139.424999999999</v>
      </c>
      <c r="AF28" s="156">
        <f t="shared" si="24"/>
        <v>18139.424999999999</v>
      </c>
      <c r="AG28" s="156">
        <f t="shared" si="25"/>
        <v>199533.67499999999</v>
      </c>
    </row>
    <row r="29" spans="1:33" ht="31.5" customHeight="1" x14ac:dyDescent="0.25">
      <c r="A29" s="329">
        <v>10</v>
      </c>
      <c r="B29" s="355" t="s">
        <v>278</v>
      </c>
      <c r="C29" s="117" t="s">
        <v>201</v>
      </c>
      <c r="D29" s="117" t="s">
        <v>10</v>
      </c>
      <c r="E29" s="196" t="s">
        <v>217</v>
      </c>
      <c r="F29" s="117"/>
      <c r="G29" s="198" t="s">
        <v>216</v>
      </c>
      <c r="H29" s="200">
        <v>4.75</v>
      </c>
      <c r="I29" s="117">
        <v>1</v>
      </c>
      <c r="J29" s="193">
        <f t="shared" si="0"/>
        <v>84060.75</v>
      </c>
      <c r="K29" s="153">
        <v>71</v>
      </c>
      <c r="L29" s="153">
        <f t="shared" si="6"/>
        <v>59683.1325</v>
      </c>
      <c r="M29" s="117"/>
      <c r="N29" s="194"/>
      <c r="O29" s="194">
        <f t="shared" si="2"/>
        <v>143743.88250000001</v>
      </c>
      <c r="P29" s="194"/>
      <c r="Q29" s="194"/>
      <c r="R29" s="117"/>
      <c r="S29" s="117"/>
      <c r="T29" s="117"/>
      <c r="U29" s="117"/>
      <c r="V29" s="194"/>
      <c r="W29" s="117"/>
      <c r="X29" s="117"/>
      <c r="Y29" s="117"/>
      <c r="Z29" s="117"/>
      <c r="AA29" s="117">
        <f t="shared" si="17"/>
        <v>0</v>
      </c>
      <c r="AB29" s="117"/>
      <c r="AC29" s="117">
        <f t="shared" si="18"/>
        <v>0</v>
      </c>
      <c r="AD29" s="117">
        <v>1</v>
      </c>
      <c r="AE29" s="194">
        <f t="shared" si="3"/>
        <v>14374.388250000002</v>
      </c>
      <c r="AF29" s="156">
        <f t="shared" ref="AF29" si="30">SUM(Q29,S29,U29,W29,AA29,Y29,AE29,AC29)</f>
        <v>14374.388250000002</v>
      </c>
      <c r="AG29" s="156">
        <f t="shared" ref="AG29" si="31">SUM(O29+AF29)</f>
        <v>158118.27075</v>
      </c>
    </row>
    <row r="30" spans="1:33" ht="18" x14ac:dyDescent="0.25">
      <c r="A30" s="330"/>
      <c r="B30" s="356"/>
      <c r="C30" s="119" t="s">
        <v>173</v>
      </c>
      <c r="D30" s="119" t="s">
        <v>121</v>
      </c>
      <c r="E30" s="192">
        <v>2</v>
      </c>
      <c r="F30" s="119">
        <v>0</v>
      </c>
      <c r="G30" s="198">
        <v>26</v>
      </c>
      <c r="H30" s="200">
        <v>2.81</v>
      </c>
      <c r="I30" s="119">
        <v>0.5</v>
      </c>
      <c r="J30" s="193">
        <f t="shared" ref="J30" si="32">$H$15*H30*I30</f>
        <v>24864.285</v>
      </c>
      <c r="K30" s="156">
        <v>71</v>
      </c>
      <c r="L30" s="153">
        <f t="shared" ref="L30" si="33">(J30*K30)/100</f>
        <v>17653.642350000002</v>
      </c>
      <c r="M30" s="117">
        <v>0</v>
      </c>
      <c r="N30" s="193">
        <f t="shared" ref="N30" si="34">SUM(J30*M30)/100</f>
        <v>0</v>
      </c>
      <c r="O30" s="194">
        <f t="shared" ref="O30" si="35">J30+L30+N30</f>
        <v>42517.927349999998</v>
      </c>
      <c r="P30" s="194"/>
      <c r="Q30" s="193"/>
      <c r="R30" s="119"/>
      <c r="S30" s="119"/>
      <c r="T30" s="119"/>
      <c r="U30" s="119">
        <v>0</v>
      </c>
      <c r="V30" s="193"/>
      <c r="W30" s="157">
        <f t="shared" ref="W30" si="36">$H$15*0.3*V30</f>
        <v>0</v>
      </c>
      <c r="X30" s="119"/>
      <c r="Y30" s="162">
        <f t="shared" ref="Y30" si="37">SUM($H$15*X30/100)</f>
        <v>0</v>
      </c>
      <c r="Z30" s="119"/>
      <c r="AA30" s="117">
        <f t="shared" ref="AA30" si="38">SUM($H$15*H30/168*24)/6*Z30</f>
        <v>0</v>
      </c>
      <c r="AB30" s="119"/>
      <c r="AC30" s="157">
        <f t="shared" ref="AC30" si="39">SUM($H$15*H30*I30*0.5/168*8)*AB30</f>
        <v>0</v>
      </c>
      <c r="AD30" s="119">
        <v>0.5</v>
      </c>
      <c r="AE30" s="193"/>
      <c r="AF30" s="156">
        <f t="shared" si="4"/>
        <v>0</v>
      </c>
      <c r="AG30" s="156">
        <f t="shared" si="5"/>
        <v>42517.927349999998</v>
      </c>
    </row>
    <row r="31" spans="1:33" ht="37.5" x14ac:dyDescent="0.25">
      <c r="A31" s="166">
        <v>11</v>
      </c>
      <c r="B31" s="223" t="s">
        <v>277</v>
      </c>
      <c r="C31" s="161" t="s">
        <v>124</v>
      </c>
      <c r="D31" s="161" t="s">
        <v>123</v>
      </c>
      <c r="E31" s="162" t="s">
        <v>122</v>
      </c>
      <c r="F31" s="161"/>
      <c r="G31" s="197" t="s">
        <v>216</v>
      </c>
      <c r="H31" s="199">
        <v>2.98</v>
      </c>
      <c r="I31" s="161">
        <v>1</v>
      </c>
      <c r="J31" s="156">
        <f t="shared" si="0"/>
        <v>52737.06</v>
      </c>
      <c r="K31" s="156">
        <v>71</v>
      </c>
      <c r="L31" s="153">
        <f t="shared" si="6"/>
        <v>37443.312599999997</v>
      </c>
      <c r="M31" s="161"/>
      <c r="N31" s="156">
        <f t="shared" ref="N31:N39" si="40">SUM(J31*M31)/100</f>
        <v>0</v>
      </c>
      <c r="O31" s="153">
        <f t="shared" si="2"/>
        <v>90180.372600000002</v>
      </c>
      <c r="P31" s="153"/>
      <c r="Q31" s="153"/>
      <c r="R31" s="161"/>
      <c r="S31" s="161">
        <f>SUM($H$15*0.2)*R31</f>
        <v>0</v>
      </c>
      <c r="T31" s="161"/>
      <c r="U31" s="161">
        <f>$H$15*0.2*T31</f>
        <v>0</v>
      </c>
      <c r="V31" s="153"/>
      <c r="W31" s="161">
        <f>$H$15*0.3*V31</f>
        <v>0</v>
      </c>
      <c r="X31" s="161"/>
      <c r="Y31" s="162">
        <f>SUM($H$15*X31/100)</f>
        <v>0</v>
      </c>
      <c r="Z31" s="161"/>
      <c r="AA31" s="117">
        <f t="shared" si="17"/>
        <v>0</v>
      </c>
      <c r="AB31" s="161"/>
      <c r="AC31" s="161">
        <f t="shared" ref="AC31:AC39" si="41">SUM($H$15*H31*I31*0.5/168*8)*AB31</f>
        <v>0</v>
      </c>
      <c r="AD31" s="161">
        <v>1</v>
      </c>
      <c r="AE31" s="153">
        <f t="shared" ref="AE31:AE41" si="42">SUM((J31/I31*AD31)*0.1)</f>
        <v>5273.7060000000001</v>
      </c>
      <c r="AF31" s="156">
        <f t="shared" si="4"/>
        <v>5273.7060000000001</v>
      </c>
      <c r="AG31" s="156">
        <f t="shared" si="5"/>
        <v>95454.078600000008</v>
      </c>
    </row>
    <row r="32" spans="1:33" ht="18.75" x14ac:dyDescent="0.25">
      <c r="A32" s="208">
        <v>12</v>
      </c>
      <c r="B32" s="254" t="s">
        <v>198</v>
      </c>
      <c r="C32" s="157" t="s">
        <v>208</v>
      </c>
      <c r="D32" s="157" t="s">
        <v>121</v>
      </c>
      <c r="E32" s="160">
        <f>[1]Адмхоз!E42</f>
        <v>2</v>
      </c>
      <c r="F32" s="157">
        <f>[1]Адмхоз!F42</f>
        <v>0</v>
      </c>
      <c r="G32" s="197">
        <v>13</v>
      </c>
      <c r="H32" s="199">
        <v>2.81</v>
      </c>
      <c r="I32" s="157">
        <v>1.5</v>
      </c>
      <c r="J32" s="156">
        <f t="shared" si="0"/>
        <v>74592.854999999996</v>
      </c>
      <c r="K32" s="156">
        <v>71</v>
      </c>
      <c r="L32" s="153">
        <f t="shared" si="6"/>
        <v>52960.927049999998</v>
      </c>
      <c r="M32" s="157"/>
      <c r="N32" s="156">
        <f t="shared" si="40"/>
        <v>0</v>
      </c>
      <c r="O32" s="153">
        <f t="shared" si="2"/>
        <v>127553.78204999999</v>
      </c>
      <c r="P32" s="153"/>
      <c r="Q32" s="156"/>
      <c r="R32" s="157"/>
      <c r="S32" s="157">
        <f>SUM($H$15*0.2)*R32</f>
        <v>0</v>
      </c>
      <c r="T32" s="157"/>
      <c r="U32" s="157">
        <f>$H$15*0.2*T32</f>
        <v>0</v>
      </c>
      <c r="V32" s="156">
        <v>1</v>
      </c>
      <c r="W32" s="157">
        <f>$H$15*0.3*V32</f>
        <v>5309.0999999999995</v>
      </c>
      <c r="X32" s="157"/>
      <c r="Y32" s="162">
        <f t="shared" ref="Y32:Y39" si="43">SUM($H$15*X32/100)</f>
        <v>0</v>
      </c>
      <c r="Z32" s="157"/>
      <c r="AA32" s="117">
        <f t="shared" si="17"/>
        <v>0</v>
      </c>
      <c r="AB32" s="157"/>
      <c r="AC32" s="157">
        <f t="shared" si="41"/>
        <v>0</v>
      </c>
      <c r="AD32" s="157">
        <v>1</v>
      </c>
      <c r="AE32" s="156">
        <f t="shared" si="42"/>
        <v>4972.857</v>
      </c>
      <c r="AF32" s="156">
        <f>SUM(Q32,S32,U32,W32,AA32,Y32,AE32,AC32)</f>
        <v>10281.956999999999</v>
      </c>
      <c r="AG32" s="156">
        <f>SUM(O32+AF32)</f>
        <v>137835.73905</v>
      </c>
    </row>
    <row r="33" spans="1:33" ht="18" customHeight="1" x14ac:dyDescent="0.25">
      <c r="A33" s="208">
        <v>13</v>
      </c>
      <c r="B33" s="254" t="s">
        <v>187</v>
      </c>
      <c r="C33" s="157" t="s">
        <v>208</v>
      </c>
      <c r="D33" s="157" t="s">
        <v>121</v>
      </c>
      <c r="E33" s="160">
        <v>2</v>
      </c>
      <c r="F33" s="157"/>
      <c r="G33" s="197">
        <v>12</v>
      </c>
      <c r="H33" s="199">
        <v>2.81</v>
      </c>
      <c r="I33" s="157">
        <v>1.5</v>
      </c>
      <c r="J33" s="156">
        <f t="shared" si="0"/>
        <v>74592.854999999996</v>
      </c>
      <c r="K33" s="156">
        <v>71</v>
      </c>
      <c r="L33" s="153">
        <f t="shared" ref="L33" si="44">(J33*K33)/100</f>
        <v>52960.927049999998</v>
      </c>
      <c r="M33" s="157"/>
      <c r="N33" s="156">
        <f t="shared" ref="N33" si="45">SUM(J33*M33)/100</f>
        <v>0</v>
      </c>
      <c r="O33" s="153">
        <f t="shared" ref="O33" si="46">J33+L33+N33</f>
        <v>127553.78204999999</v>
      </c>
      <c r="P33" s="153"/>
      <c r="Q33" s="156"/>
      <c r="R33" s="157"/>
      <c r="S33" s="157">
        <f>SUM($H$15*0.2)*R33</f>
        <v>0</v>
      </c>
      <c r="T33" s="157"/>
      <c r="U33" s="157">
        <f>$H$15*0.2*T33</f>
        <v>0</v>
      </c>
      <c r="V33" s="156">
        <v>1</v>
      </c>
      <c r="W33" s="157">
        <f>$H$15*0.3*V33</f>
        <v>5309.0999999999995</v>
      </c>
      <c r="X33" s="157"/>
      <c r="Y33" s="162">
        <f t="shared" ref="Y33" si="47">SUM($H$15*X33/100)</f>
        <v>0</v>
      </c>
      <c r="Z33" s="157"/>
      <c r="AA33" s="117">
        <f t="shared" ref="AA33" si="48">SUM($H$15*H33/168*24)/6*Z33</f>
        <v>0</v>
      </c>
      <c r="AB33" s="157"/>
      <c r="AC33" s="157">
        <f t="shared" si="41"/>
        <v>0</v>
      </c>
      <c r="AD33" s="157">
        <v>1</v>
      </c>
      <c r="AE33" s="156">
        <f t="shared" ref="AE33" si="49">SUM((J33/I33*AD33)*0.1)</f>
        <v>4972.857</v>
      </c>
      <c r="AF33" s="156">
        <f>SUM(Q33,S33,U33,W33,AA33,Y33,AE33,AC33)</f>
        <v>10281.956999999999</v>
      </c>
      <c r="AG33" s="156">
        <f>SUM(O33+AF33)</f>
        <v>137835.73905</v>
      </c>
    </row>
    <row r="34" spans="1:33" ht="18.75" x14ac:dyDescent="0.25">
      <c r="A34" s="207">
        <v>14</v>
      </c>
      <c r="B34" s="254" t="s">
        <v>172</v>
      </c>
      <c r="C34" s="157" t="s">
        <v>208</v>
      </c>
      <c r="D34" s="157" t="s">
        <v>121</v>
      </c>
      <c r="E34" s="160">
        <f>[1]Адмхоз!E43</f>
        <v>2</v>
      </c>
      <c r="F34" s="157">
        <f>[1]Адмхоз!F43</f>
        <v>0</v>
      </c>
      <c r="G34" s="197">
        <v>13</v>
      </c>
      <c r="H34" s="199">
        <v>2.81</v>
      </c>
      <c r="I34" s="157">
        <v>1.5</v>
      </c>
      <c r="J34" s="156">
        <f t="shared" si="0"/>
        <v>74592.854999999996</v>
      </c>
      <c r="K34" s="156">
        <v>71</v>
      </c>
      <c r="L34" s="153">
        <f t="shared" si="6"/>
        <v>52960.927049999998</v>
      </c>
      <c r="M34" s="157"/>
      <c r="N34" s="156">
        <f t="shared" si="40"/>
        <v>0</v>
      </c>
      <c r="O34" s="153">
        <f t="shared" si="2"/>
        <v>127553.78204999999</v>
      </c>
      <c r="P34" s="153"/>
      <c r="Q34" s="156"/>
      <c r="R34" s="157"/>
      <c r="S34" s="157">
        <f>SUM($H$15*0.2)*R34</f>
        <v>0</v>
      </c>
      <c r="T34" s="157"/>
      <c r="U34" s="157">
        <f>$H$15*0.2*T34</f>
        <v>0</v>
      </c>
      <c r="V34" s="156">
        <v>1</v>
      </c>
      <c r="W34" s="157">
        <f>$H$15*0.3*V34</f>
        <v>5309.0999999999995</v>
      </c>
      <c r="X34" s="157"/>
      <c r="Y34" s="162">
        <f t="shared" si="43"/>
        <v>0</v>
      </c>
      <c r="Z34" s="157"/>
      <c r="AA34" s="117">
        <f t="shared" si="17"/>
        <v>0</v>
      </c>
      <c r="AB34" s="157"/>
      <c r="AC34" s="157">
        <f t="shared" si="41"/>
        <v>0</v>
      </c>
      <c r="AD34" s="157">
        <v>1</v>
      </c>
      <c r="AE34" s="156">
        <f t="shared" si="42"/>
        <v>4972.857</v>
      </c>
      <c r="AF34" s="156">
        <f t="shared" ref="AF34:AF44" si="50">SUM(Q34,S34,U34,W34,AA34,Y34,AE34,AC34)</f>
        <v>10281.956999999999</v>
      </c>
      <c r="AG34" s="156">
        <f t="shared" ref="AG34:AG44" si="51">SUM(O34+AF34)</f>
        <v>137835.73905</v>
      </c>
    </row>
    <row r="35" spans="1:33" ht="18.75" x14ac:dyDescent="0.25">
      <c r="A35" s="222">
        <v>15</v>
      </c>
      <c r="B35" s="223" t="s">
        <v>204</v>
      </c>
      <c r="C35" s="157" t="s">
        <v>208</v>
      </c>
      <c r="D35" s="157" t="s">
        <v>121</v>
      </c>
      <c r="E35" s="160">
        <v>2</v>
      </c>
      <c r="F35" s="157">
        <v>0</v>
      </c>
      <c r="G35" s="197">
        <v>12</v>
      </c>
      <c r="H35" s="199">
        <v>2.81</v>
      </c>
      <c r="I35" s="157">
        <v>1.5</v>
      </c>
      <c r="J35" s="156">
        <f t="shared" ref="J35:J38" si="52">$H$15*H35*I35</f>
        <v>74592.854999999996</v>
      </c>
      <c r="K35" s="156">
        <v>71</v>
      </c>
      <c r="L35" s="153">
        <f t="shared" ref="L35:L38" si="53">(J35*K35)/100</f>
        <v>52960.927049999998</v>
      </c>
      <c r="M35" s="157"/>
      <c r="N35" s="156">
        <f t="shared" ref="N35:N38" si="54">SUM(J35*M35)/100</f>
        <v>0</v>
      </c>
      <c r="O35" s="153">
        <f t="shared" ref="O35:O38" si="55">J35+L35+N35</f>
        <v>127553.78204999999</v>
      </c>
      <c r="P35" s="153"/>
      <c r="Q35" s="156"/>
      <c r="R35" s="157"/>
      <c r="S35" s="157">
        <f t="shared" ref="S35:S38" si="56">SUM($H$15*0.2)*R35</f>
        <v>0</v>
      </c>
      <c r="T35" s="157"/>
      <c r="U35" s="157">
        <f t="shared" ref="U35:U38" si="57">$H$15*0.2*T35</f>
        <v>0</v>
      </c>
      <c r="V35" s="156">
        <v>1</v>
      </c>
      <c r="W35" s="157">
        <f t="shared" ref="W35:W38" si="58">$H$15*0.3*V35</f>
        <v>5309.0999999999995</v>
      </c>
      <c r="X35" s="157"/>
      <c r="Y35" s="162">
        <f t="shared" ref="Y35:Y38" si="59">SUM($H$15*X35/100)</f>
        <v>0</v>
      </c>
      <c r="Z35" s="157"/>
      <c r="AA35" s="117">
        <f t="shared" ref="AA35:AA38" si="60">SUM($H$15*H35/168*24)/6*Z35</f>
        <v>0</v>
      </c>
      <c r="AB35" s="157"/>
      <c r="AC35" s="157">
        <f t="shared" ref="AC35:AC38" si="61">SUM($H$15*H35*I35*0.5/168*8)*AB35</f>
        <v>0</v>
      </c>
      <c r="AD35" s="157">
        <v>1</v>
      </c>
      <c r="AE35" s="156">
        <f t="shared" ref="AE35:AE38" si="62">SUM((J35/I35*AD35)*0.1)</f>
        <v>4972.857</v>
      </c>
      <c r="AF35" s="156">
        <f t="shared" ref="AF35:AF38" si="63">SUM(Q35,S35,U35,W35,AA35,Y35,AE35,AC35)</f>
        <v>10281.956999999999</v>
      </c>
      <c r="AG35" s="156">
        <f t="shared" ref="AG35:AG38" si="64">SUM(O35+AF35)</f>
        <v>137835.73905</v>
      </c>
    </row>
    <row r="36" spans="1:33" ht="18.75" x14ac:dyDescent="0.25">
      <c r="A36" s="222">
        <v>16</v>
      </c>
      <c r="B36" s="246" t="s">
        <v>205</v>
      </c>
      <c r="C36" s="157" t="s">
        <v>208</v>
      </c>
      <c r="D36" s="157" t="s">
        <v>121</v>
      </c>
      <c r="E36" s="160">
        <v>2</v>
      </c>
      <c r="F36" s="157">
        <v>0</v>
      </c>
      <c r="G36" s="197">
        <v>21</v>
      </c>
      <c r="H36" s="199">
        <v>2.81</v>
      </c>
      <c r="I36" s="157">
        <v>1.5</v>
      </c>
      <c r="J36" s="156">
        <f t="shared" si="52"/>
        <v>74592.854999999996</v>
      </c>
      <c r="K36" s="156">
        <v>71</v>
      </c>
      <c r="L36" s="153">
        <f t="shared" si="53"/>
        <v>52960.927049999998</v>
      </c>
      <c r="M36" s="157"/>
      <c r="N36" s="156">
        <f t="shared" si="54"/>
        <v>0</v>
      </c>
      <c r="O36" s="153">
        <f t="shared" si="55"/>
        <v>127553.78204999999</v>
      </c>
      <c r="P36" s="153"/>
      <c r="Q36" s="156"/>
      <c r="R36" s="157"/>
      <c r="S36" s="157">
        <f t="shared" si="56"/>
        <v>0</v>
      </c>
      <c r="T36" s="157"/>
      <c r="U36" s="157">
        <f t="shared" si="57"/>
        <v>0</v>
      </c>
      <c r="V36" s="156">
        <v>1</v>
      </c>
      <c r="W36" s="157">
        <f t="shared" si="58"/>
        <v>5309.0999999999995</v>
      </c>
      <c r="X36" s="157"/>
      <c r="Y36" s="162">
        <f t="shared" si="59"/>
        <v>0</v>
      </c>
      <c r="Z36" s="157"/>
      <c r="AA36" s="117">
        <f t="shared" si="60"/>
        <v>0</v>
      </c>
      <c r="AB36" s="157"/>
      <c r="AC36" s="157">
        <f t="shared" si="61"/>
        <v>0</v>
      </c>
      <c r="AD36" s="157">
        <v>1</v>
      </c>
      <c r="AE36" s="156">
        <f t="shared" si="62"/>
        <v>4972.857</v>
      </c>
      <c r="AF36" s="156">
        <f t="shared" si="63"/>
        <v>10281.956999999999</v>
      </c>
      <c r="AG36" s="156">
        <f t="shared" si="64"/>
        <v>137835.73905</v>
      </c>
    </row>
    <row r="37" spans="1:33" ht="18.75" x14ac:dyDescent="0.25">
      <c r="A37" s="222">
        <v>17</v>
      </c>
      <c r="B37" s="246" t="s">
        <v>206</v>
      </c>
      <c r="C37" s="157" t="s">
        <v>208</v>
      </c>
      <c r="D37" s="157" t="s">
        <v>121</v>
      </c>
      <c r="E37" s="160">
        <v>2</v>
      </c>
      <c r="F37" s="157">
        <v>0</v>
      </c>
      <c r="G37" s="197">
        <v>19</v>
      </c>
      <c r="H37" s="199">
        <v>2.81</v>
      </c>
      <c r="I37" s="157">
        <v>1.5</v>
      </c>
      <c r="J37" s="156">
        <f t="shared" si="52"/>
        <v>74592.854999999996</v>
      </c>
      <c r="K37" s="156">
        <v>71</v>
      </c>
      <c r="L37" s="153">
        <f t="shared" si="53"/>
        <v>52960.927049999998</v>
      </c>
      <c r="M37" s="157"/>
      <c r="N37" s="156">
        <f t="shared" si="54"/>
        <v>0</v>
      </c>
      <c r="O37" s="153">
        <f t="shared" si="55"/>
        <v>127553.78204999999</v>
      </c>
      <c r="P37" s="153"/>
      <c r="Q37" s="156"/>
      <c r="R37" s="157"/>
      <c r="S37" s="157">
        <f t="shared" si="56"/>
        <v>0</v>
      </c>
      <c r="T37" s="157"/>
      <c r="U37" s="157">
        <f t="shared" si="57"/>
        <v>0</v>
      </c>
      <c r="V37" s="156">
        <v>1</v>
      </c>
      <c r="W37" s="157">
        <f t="shared" si="58"/>
        <v>5309.0999999999995</v>
      </c>
      <c r="X37" s="157"/>
      <c r="Y37" s="162">
        <f t="shared" si="59"/>
        <v>0</v>
      </c>
      <c r="Z37" s="157"/>
      <c r="AA37" s="117">
        <f t="shared" si="60"/>
        <v>0</v>
      </c>
      <c r="AB37" s="157"/>
      <c r="AC37" s="157">
        <f t="shared" si="61"/>
        <v>0</v>
      </c>
      <c r="AD37" s="157">
        <v>1</v>
      </c>
      <c r="AE37" s="156">
        <f t="shared" si="62"/>
        <v>4972.857</v>
      </c>
      <c r="AF37" s="156">
        <f t="shared" si="63"/>
        <v>10281.956999999999</v>
      </c>
      <c r="AG37" s="156">
        <f t="shared" si="64"/>
        <v>137835.73905</v>
      </c>
    </row>
    <row r="38" spans="1:33" ht="18.75" x14ac:dyDescent="0.25">
      <c r="A38" s="222">
        <v>18</v>
      </c>
      <c r="B38" s="246" t="s">
        <v>207</v>
      </c>
      <c r="C38" s="157" t="s">
        <v>208</v>
      </c>
      <c r="D38" s="157" t="s">
        <v>121</v>
      </c>
      <c r="E38" s="160">
        <v>2</v>
      </c>
      <c r="F38" s="157">
        <v>0</v>
      </c>
      <c r="G38" s="197">
        <v>14</v>
      </c>
      <c r="H38" s="199">
        <v>2.81</v>
      </c>
      <c r="I38" s="157">
        <v>1.5</v>
      </c>
      <c r="J38" s="156">
        <f t="shared" si="52"/>
        <v>74592.854999999996</v>
      </c>
      <c r="K38" s="156">
        <v>71</v>
      </c>
      <c r="L38" s="153">
        <f t="shared" si="53"/>
        <v>52960.927049999998</v>
      </c>
      <c r="M38" s="157"/>
      <c r="N38" s="156">
        <f t="shared" si="54"/>
        <v>0</v>
      </c>
      <c r="O38" s="153">
        <f t="shared" si="55"/>
        <v>127553.78204999999</v>
      </c>
      <c r="P38" s="153"/>
      <c r="Q38" s="156"/>
      <c r="R38" s="157"/>
      <c r="S38" s="157">
        <f t="shared" si="56"/>
        <v>0</v>
      </c>
      <c r="T38" s="157"/>
      <c r="U38" s="157">
        <f t="shared" si="57"/>
        <v>0</v>
      </c>
      <c r="V38" s="156">
        <v>1</v>
      </c>
      <c r="W38" s="157">
        <f t="shared" si="58"/>
        <v>5309.0999999999995</v>
      </c>
      <c r="X38" s="157"/>
      <c r="Y38" s="162">
        <f t="shared" si="59"/>
        <v>0</v>
      </c>
      <c r="Z38" s="157"/>
      <c r="AA38" s="117">
        <f t="shared" si="60"/>
        <v>0</v>
      </c>
      <c r="AB38" s="157"/>
      <c r="AC38" s="157">
        <f t="shared" si="61"/>
        <v>0</v>
      </c>
      <c r="AD38" s="157">
        <v>1</v>
      </c>
      <c r="AE38" s="156">
        <f t="shared" si="62"/>
        <v>4972.857</v>
      </c>
      <c r="AF38" s="156">
        <f t="shared" si="63"/>
        <v>10281.956999999999</v>
      </c>
      <c r="AG38" s="156">
        <f t="shared" si="64"/>
        <v>137835.73905</v>
      </c>
    </row>
    <row r="39" spans="1:33" ht="16.5" customHeight="1" x14ac:dyDescent="0.3">
      <c r="A39" s="166">
        <v>19</v>
      </c>
      <c r="B39" s="255" t="s">
        <v>215</v>
      </c>
      <c r="C39" s="157" t="s">
        <v>208</v>
      </c>
      <c r="D39" s="157" t="s">
        <v>121</v>
      </c>
      <c r="E39" s="160">
        <v>2</v>
      </c>
      <c r="F39" s="157">
        <f>[1]Адмхоз!F61</f>
        <v>0</v>
      </c>
      <c r="G39" s="197">
        <v>28</v>
      </c>
      <c r="H39" s="199">
        <v>2.81</v>
      </c>
      <c r="I39" s="157">
        <v>1.5</v>
      </c>
      <c r="J39" s="156">
        <f t="shared" si="0"/>
        <v>74592.854999999996</v>
      </c>
      <c r="K39" s="156">
        <v>71</v>
      </c>
      <c r="L39" s="153">
        <f t="shared" si="6"/>
        <v>52960.927049999998</v>
      </c>
      <c r="M39" s="157"/>
      <c r="N39" s="156">
        <f t="shared" si="40"/>
        <v>0</v>
      </c>
      <c r="O39" s="153">
        <f t="shared" si="2"/>
        <v>127553.78204999999</v>
      </c>
      <c r="P39" s="153"/>
      <c r="Q39" s="156"/>
      <c r="R39" s="157"/>
      <c r="S39" s="157">
        <f>SUM($H$15*0.2)*R39</f>
        <v>0</v>
      </c>
      <c r="T39" s="157"/>
      <c r="U39" s="157">
        <f>$H$15*0.2*T39</f>
        <v>0</v>
      </c>
      <c r="V39" s="156"/>
      <c r="W39" s="157">
        <f t="shared" ref="W39:W41" si="65">$H$15*0.3*V39</f>
        <v>0</v>
      </c>
      <c r="X39" s="157"/>
      <c r="Y39" s="162">
        <f t="shared" si="43"/>
        <v>0</v>
      </c>
      <c r="Z39" s="157">
        <v>5</v>
      </c>
      <c r="AA39" s="117">
        <f t="shared" si="17"/>
        <v>5920.0678571428571</v>
      </c>
      <c r="AB39" s="157">
        <v>15</v>
      </c>
      <c r="AC39" s="156">
        <f t="shared" si="41"/>
        <v>26640.305357142854</v>
      </c>
      <c r="AD39" s="157">
        <v>1</v>
      </c>
      <c r="AE39" s="156">
        <f t="shared" si="42"/>
        <v>4972.857</v>
      </c>
      <c r="AF39" s="156">
        <f t="shared" si="50"/>
        <v>37533.230214285708</v>
      </c>
      <c r="AG39" s="156">
        <f t="shared" si="51"/>
        <v>165087.0122642857</v>
      </c>
    </row>
    <row r="40" spans="1:33" ht="18.75" x14ac:dyDescent="0.25">
      <c r="A40" s="220">
        <v>20</v>
      </c>
      <c r="B40" s="247" t="s">
        <v>185</v>
      </c>
      <c r="C40" s="221" t="s">
        <v>214</v>
      </c>
      <c r="D40" s="157" t="s">
        <v>121</v>
      </c>
      <c r="E40" s="192">
        <v>3</v>
      </c>
      <c r="F40" s="119"/>
      <c r="G40" s="198"/>
      <c r="H40" s="200">
        <v>2.84</v>
      </c>
      <c r="I40" s="119">
        <v>1.5</v>
      </c>
      <c r="J40" s="193">
        <f t="shared" si="0"/>
        <v>75389.22</v>
      </c>
      <c r="K40" s="156">
        <v>71</v>
      </c>
      <c r="L40" s="153">
        <f t="shared" si="6"/>
        <v>53526.3462</v>
      </c>
      <c r="M40" s="117"/>
      <c r="N40" s="193"/>
      <c r="O40" s="194">
        <f t="shared" si="2"/>
        <v>128915.5662</v>
      </c>
      <c r="P40" s="194"/>
      <c r="Q40" s="193"/>
      <c r="R40" s="119"/>
      <c r="S40" s="157">
        <v>0</v>
      </c>
      <c r="T40" s="119"/>
      <c r="U40" s="119"/>
      <c r="V40" s="193">
        <v>1</v>
      </c>
      <c r="W40" s="157">
        <f t="shared" si="65"/>
        <v>5309.0999999999995</v>
      </c>
      <c r="X40" s="119"/>
      <c r="Y40" s="162"/>
      <c r="Z40" s="119">
        <v>3</v>
      </c>
      <c r="AA40" s="117">
        <f t="shared" si="17"/>
        <v>3589.9628571428566</v>
      </c>
      <c r="AB40" s="119">
        <v>10</v>
      </c>
      <c r="AC40" s="157">
        <f t="shared" ref="AC40:AC41" si="66">SUM($H$15*H40*I40*0.5/168*8)*AB40</f>
        <v>17949.814285714285</v>
      </c>
      <c r="AD40" s="119">
        <v>1</v>
      </c>
      <c r="AE40" s="193">
        <f t="shared" si="42"/>
        <v>5025.9480000000003</v>
      </c>
      <c r="AF40" s="156">
        <f t="shared" si="50"/>
        <v>31874.825142857142</v>
      </c>
      <c r="AG40" s="156">
        <f t="shared" si="51"/>
        <v>160790.39134285715</v>
      </c>
    </row>
    <row r="41" spans="1:33" ht="18.75" x14ac:dyDescent="0.25">
      <c r="A41" s="220">
        <v>21</v>
      </c>
      <c r="B41" s="247" t="s">
        <v>185</v>
      </c>
      <c r="C41" s="221" t="s">
        <v>214</v>
      </c>
      <c r="D41" s="157" t="s">
        <v>121</v>
      </c>
      <c r="E41" s="192">
        <v>3</v>
      </c>
      <c r="F41" s="119"/>
      <c r="G41" s="198"/>
      <c r="H41" s="200">
        <v>2.84</v>
      </c>
      <c r="I41" s="119">
        <v>1.5</v>
      </c>
      <c r="J41" s="193">
        <f t="shared" si="0"/>
        <v>75389.22</v>
      </c>
      <c r="K41" s="156">
        <v>71</v>
      </c>
      <c r="L41" s="153">
        <f t="shared" si="6"/>
        <v>53526.3462</v>
      </c>
      <c r="M41" s="117"/>
      <c r="N41" s="193"/>
      <c r="O41" s="194">
        <f t="shared" si="2"/>
        <v>128915.5662</v>
      </c>
      <c r="P41" s="194"/>
      <c r="Q41" s="193"/>
      <c r="R41" s="119"/>
      <c r="S41" s="157">
        <v>0</v>
      </c>
      <c r="T41" s="119"/>
      <c r="U41" s="119"/>
      <c r="V41" s="193">
        <v>1</v>
      </c>
      <c r="W41" s="157">
        <f t="shared" si="65"/>
        <v>5309.0999999999995</v>
      </c>
      <c r="X41" s="119"/>
      <c r="Y41" s="162"/>
      <c r="Z41" s="119">
        <v>4</v>
      </c>
      <c r="AA41" s="117">
        <f t="shared" si="17"/>
        <v>4786.6171428571424</v>
      </c>
      <c r="AB41" s="119">
        <v>10</v>
      </c>
      <c r="AC41" s="157">
        <f t="shared" si="66"/>
        <v>17949.814285714285</v>
      </c>
      <c r="AD41" s="119">
        <v>1</v>
      </c>
      <c r="AE41" s="193">
        <f t="shared" si="42"/>
        <v>5025.9480000000003</v>
      </c>
      <c r="AF41" s="156">
        <f t="shared" si="50"/>
        <v>33071.479428571431</v>
      </c>
      <c r="AG41" s="156">
        <f t="shared" si="51"/>
        <v>161987.04562857142</v>
      </c>
    </row>
    <row r="42" spans="1:33" ht="18.75" customHeight="1" x14ac:dyDescent="0.25">
      <c r="A42" s="329">
        <v>22</v>
      </c>
      <c r="B42" s="327" t="s">
        <v>184</v>
      </c>
      <c r="C42" s="161" t="s">
        <v>203</v>
      </c>
      <c r="D42" s="157" t="s">
        <v>121</v>
      </c>
      <c r="E42" s="228">
        <v>2</v>
      </c>
      <c r="F42" s="161"/>
      <c r="G42" s="197">
        <v>36</v>
      </c>
      <c r="H42" s="199">
        <v>2.84</v>
      </c>
      <c r="I42" s="164">
        <v>0.5</v>
      </c>
      <c r="J42" s="156">
        <f t="shared" si="0"/>
        <v>25129.739999999998</v>
      </c>
      <c r="K42" s="156">
        <v>71</v>
      </c>
      <c r="L42" s="153">
        <f t="shared" si="6"/>
        <v>17842.115399999999</v>
      </c>
      <c r="M42" s="161"/>
      <c r="N42" s="153">
        <v>0</v>
      </c>
      <c r="O42" s="153">
        <f t="shared" si="2"/>
        <v>42971.8554</v>
      </c>
      <c r="P42" s="153"/>
      <c r="Q42" s="163"/>
      <c r="R42" s="165"/>
      <c r="S42" s="157">
        <v>0</v>
      </c>
      <c r="T42" s="165"/>
      <c r="U42" s="165"/>
      <c r="V42" s="165"/>
      <c r="W42" s="165"/>
      <c r="X42" s="165"/>
      <c r="Y42" s="165"/>
      <c r="Z42" s="165"/>
      <c r="AA42" s="117">
        <f t="shared" ref="AA42" si="67">SUM($H$15*H42/168*24)/6*Z42</f>
        <v>0</v>
      </c>
      <c r="AB42" s="165"/>
      <c r="AC42" s="165"/>
      <c r="AD42" s="164">
        <v>0.5</v>
      </c>
      <c r="AE42" s="153"/>
      <c r="AF42" s="156">
        <f t="shared" si="50"/>
        <v>0</v>
      </c>
      <c r="AG42" s="156">
        <f t="shared" si="51"/>
        <v>42971.8554</v>
      </c>
    </row>
    <row r="43" spans="1:33" ht="18" x14ac:dyDescent="0.25">
      <c r="A43" s="330"/>
      <c r="B43" s="328"/>
      <c r="C43" s="157" t="s">
        <v>175</v>
      </c>
      <c r="D43" s="157" t="s">
        <v>121</v>
      </c>
      <c r="E43" s="160">
        <v>6</v>
      </c>
      <c r="F43" s="157"/>
      <c r="G43" s="159">
        <v>36</v>
      </c>
      <c r="H43" s="158">
        <v>2.96</v>
      </c>
      <c r="I43" s="119">
        <v>1</v>
      </c>
      <c r="J43" s="193">
        <f t="shared" si="0"/>
        <v>52383.12</v>
      </c>
      <c r="K43" s="156">
        <v>71</v>
      </c>
      <c r="L43" s="153">
        <f t="shared" si="6"/>
        <v>37192.015200000002</v>
      </c>
      <c r="M43" s="157">
        <v>50</v>
      </c>
      <c r="N43" s="193">
        <f>SUM(J43+L43)*M43/100</f>
        <v>44787.567599999995</v>
      </c>
      <c r="O43" s="194">
        <f t="shared" si="2"/>
        <v>134362.7028</v>
      </c>
      <c r="P43" s="194"/>
      <c r="Q43" s="156"/>
      <c r="R43" s="157"/>
      <c r="S43" s="157">
        <v>0</v>
      </c>
      <c r="T43" s="157"/>
      <c r="U43" s="157"/>
      <c r="V43" s="156"/>
      <c r="W43" s="157"/>
      <c r="X43" s="157">
        <v>35</v>
      </c>
      <c r="Y43" s="162">
        <f t="shared" ref="Y43" si="68">SUM($H$15*X43/100)</f>
        <v>6193.95</v>
      </c>
      <c r="Z43" s="157"/>
      <c r="AA43" s="117">
        <f t="shared" ref="AA43" si="69">SUM($H$15*H43/168*24)/6*Z43</f>
        <v>0</v>
      </c>
      <c r="AB43" s="157"/>
      <c r="AC43" s="157"/>
      <c r="AD43" s="119">
        <v>1</v>
      </c>
      <c r="AE43" s="193">
        <f>SUM(((J43+L43+N43)/I43*AD43)*0.1)</f>
        <v>13436.270280000001</v>
      </c>
      <c r="AF43" s="156">
        <f t="shared" si="50"/>
        <v>19630.220280000001</v>
      </c>
      <c r="AG43" s="156">
        <f t="shared" si="51"/>
        <v>153992.92308000001</v>
      </c>
    </row>
    <row r="44" spans="1:33" ht="37.5" x14ac:dyDescent="0.25">
      <c r="A44" s="219">
        <v>23</v>
      </c>
      <c r="B44" s="256" t="s">
        <v>279</v>
      </c>
      <c r="C44" s="119" t="s">
        <v>173</v>
      </c>
      <c r="D44" s="119" t="s">
        <v>121</v>
      </c>
      <c r="E44" s="192">
        <v>2</v>
      </c>
      <c r="F44" s="119">
        <v>0</v>
      </c>
      <c r="G44" s="198">
        <v>26</v>
      </c>
      <c r="H44" s="200">
        <v>2.84</v>
      </c>
      <c r="I44" s="119">
        <v>1.5</v>
      </c>
      <c r="J44" s="193">
        <f t="shared" si="0"/>
        <v>75389.22</v>
      </c>
      <c r="K44" s="156">
        <v>71</v>
      </c>
      <c r="L44" s="153">
        <f t="shared" si="6"/>
        <v>53526.3462</v>
      </c>
      <c r="M44" s="117">
        <v>0</v>
      </c>
      <c r="N44" s="193">
        <f t="shared" ref="N44" si="70">SUM(J44*M44)/100</f>
        <v>0</v>
      </c>
      <c r="O44" s="194">
        <f t="shared" si="2"/>
        <v>128915.5662</v>
      </c>
      <c r="P44" s="194"/>
      <c r="Q44" s="193"/>
      <c r="R44" s="119"/>
      <c r="S44" s="157">
        <v>0</v>
      </c>
      <c r="T44" s="119"/>
      <c r="U44" s="119">
        <v>0</v>
      </c>
      <c r="V44" s="193"/>
      <c r="W44" s="157">
        <f t="shared" ref="W44" si="71">$H$15*0.3*V44</f>
        <v>0</v>
      </c>
      <c r="X44" s="119"/>
      <c r="Y44" s="162">
        <f t="shared" ref="Y44" si="72">SUM($H$15*X44/100)</f>
        <v>0</v>
      </c>
      <c r="Z44" s="119"/>
      <c r="AA44" s="117">
        <f t="shared" ref="AA44:AA45" si="73">SUM($H$15*H44/168*24)/6*Z44</f>
        <v>0</v>
      </c>
      <c r="AB44" s="119"/>
      <c r="AC44" s="157">
        <f t="shared" ref="AC44" si="74">SUM($H$15*H44*I44*0.5/168*8)*AB44</f>
        <v>0</v>
      </c>
      <c r="AD44" s="119">
        <v>1</v>
      </c>
      <c r="AE44" s="193">
        <f t="shared" ref="AE44" si="75">SUM((J44/I44*AD44)*0.1)</f>
        <v>5025.9480000000003</v>
      </c>
      <c r="AF44" s="156">
        <f t="shared" si="50"/>
        <v>5025.9480000000003</v>
      </c>
      <c r="AG44" s="156">
        <f t="shared" si="51"/>
        <v>133941.51420000001</v>
      </c>
    </row>
    <row r="45" spans="1:33" ht="28.5" customHeight="1" x14ac:dyDescent="0.25">
      <c r="A45" s="219">
        <v>24</v>
      </c>
      <c r="B45" s="256" t="s">
        <v>185</v>
      </c>
      <c r="C45" s="157" t="s">
        <v>225</v>
      </c>
      <c r="D45" s="157" t="s">
        <v>211</v>
      </c>
      <c r="E45" s="160" t="s">
        <v>218</v>
      </c>
      <c r="F45" s="157"/>
      <c r="G45" s="159" t="s">
        <v>216</v>
      </c>
      <c r="H45" s="158">
        <v>2.0499999999999998</v>
      </c>
      <c r="I45" s="119">
        <v>1</v>
      </c>
      <c r="J45" s="193">
        <f t="shared" si="0"/>
        <v>36278.85</v>
      </c>
      <c r="K45" s="156">
        <v>71</v>
      </c>
      <c r="L45" s="153">
        <f t="shared" si="6"/>
        <v>25757.983500000002</v>
      </c>
      <c r="M45" s="157">
        <v>25</v>
      </c>
      <c r="N45" s="193">
        <f t="shared" ref="N45" si="76">SUM(J45*M45)/100</f>
        <v>9069.7124999999996</v>
      </c>
      <c r="O45" s="194">
        <f t="shared" ref="O45" si="77">J45+L45+N45</f>
        <v>71106.546000000002</v>
      </c>
      <c r="P45" s="194"/>
      <c r="Q45" s="156"/>
      <c r="R45" s="157">
        <v>1</v>
      </c>
      <c r="S45" s="157">
        <v>3539</v>
      </c>
      <c r="T45" s="157"/>
      <c r="U45" s="157"/>
      <c r="V45" s="156"/>
      <c r="W45" s="157"/>
      <c r="X45" s="157"/>
      <c r="Y45" s="162"/>
      <c r="Z45" s="157"/>
      <c r="AA45" s="117">
        <f t="shared" si="73"/>
        <v>0</v>
      </c>
      <c r="AB45" s="157"/>
      <c r="AC45" s="157"/>
      <c r="AD45" s="119">
        <v>1</v>
      </c>
      <c r="AE45" s="193">
        <f t="shared" ref="AE45" si="78">SUM((J45/I45*AD45)*0.1)</f>
        <v>3627.8850000000002</v>
      </c>
      <c r="AF45" s="156">
        <f t="shared" ref="AF45" si="79">SUM(Q45,S45,U45,W45,AA45,Y45,AE45,AC45)</f>
        <v>7166.8850000000002</v>
      </c>
      <c r="AG45" s="156">
        <f t="shared" ref="AG45" si="80">SUM(O45+AF45)</f>
        <v>78273.430999999997</v>
      </c>
    </row>
    <row r="46" spans="1:33" ht="18.75" customHeight="1" x14ac:dyDescent="0.25">
      <c r="A46" s="329">
        <v>25</v>
      </c>
      <c r="B46" s="327" t="s">
        <v>212</v>
      </c>
      <c r="C46" s="157" t="s">
        <v>175</v>
      </c>
      <c r="D46" s="157" t="s">
        <v>121</v>
      </c>
      <c r="E46" s="160">
        <v>6</v>
      </c>
      <c r="F46" s="157"/>
      <c r="G46" s="159">
        <v>36</v>
      </c>
      <c r="H46" s="158">
        <v>2.96</v>
      </c>
      <c r="I46" s="119">
        <v>1</v>
      </c>
      <c r="J46" s="193">
        <f t="shared" ref="J46:J48" si="81">$H$15*H46*I46</f>
        <v>52383.12</v>
      </c>
      <c r="K46" s="156">
        <v>71</v>
      </c>
      <c r="L46" s="153">
        <f t="shared" ref="L46:L48" si="82">(J46*K46)/100</f>
        <v>37192.015200000002</v>
      </c>
      <c r="M46" s="157">
        <v>50</v>
      </c>
      <c r="N46" s="193">
        <f>SUM(J46+L46)*M46/100</f>
        <v>44787.567599999995</v>
      </c>
      <c r="O46" s="194">
        <f t="shared" ref="O46:O48" si="83">J46+L46+N46</f>
        <v>134362.7028</v>
      </c>
      <c r="P46" s="194"/>
      <c r="Q46" s="156"/>
      <c r="R46" s="157"/>
      <c r="S46" s="157"/>
      <c r="T46" s="157"/>
      <c r="U46" s="157"/>
      <c r="V46" s="156"/>
      <c r="W46" s="157"/>
      <c r="X46" s="157">
        <v>35</v>
      </c>
      <c r="Y46" s="162">
        <f t="shared" ref="Y46" si="84">SUM($H$15*X46/100)</f>
        <v>6193.95</v>
      </c>
      <c r="Z46" s="157"/>
      <c r="AA46" s="117">
        <f t="shared" ref="AA46:AA48" si="85">SUM($H$15*H46/168*24)/6*Z46</f>
        <v>0</v>
      </c>
      <c r="AB46" s="157"/>
      <c r="AC46" s="157"/>
      <c r="AD46" s="119">
        <v>1</v>
      </c>
      <c r="AE46" s="193">
        <f>SUM(((J46+L46+N46)/I46*AD46)*0.1)</f>
        <v>13436.270280000001</v>
      </c>
      <c r="AF46" s="156">
        <f t="shared" ref="AF46:AF48" si="86">SUM(Q46,S46,U46,W46,AA46,Y46,AE46,AC46)</f>
        <v>19630.220280000001</v>
      </c>
      <c r="AG46" s="156">
        <f t="shared" ref="AG46:AG48" si="87">SUM(O46+AF46)</f>
        <v>153992.92308000001</v>
      </c>
    </row>
    <row r="47" spans="1:33" ht="18" x14ac:dyDescent="0.25">
      <c r="A47" s="330"/>
      <c r="B47" s="328"/>
      <c r="C47" s="157" t="s">
        <v>203</v>
      </c>
      <c r="D47" s="157" t="s">
        <v>121</v>
      </c>
      <c r="E47" s="228">
        <v>2</v>
      </c>
      <c r="F47" s="161"/>
      <c r="G47" s="197">
        <v>36</v>
      </c>
      <c r="H47" s="199">
        <v>2.84</v>
      </c>
      <c r="I47" s="164">
        <v>0.5</v>
      </c>
      <c r="J47" s="156">
        <f t="shared" si="81"/>
        <v>25129.739999999998</v>
      </c>
      <c r="K47" s="156">
        <v>71</v>
      </c>
      <c r="L47" s="153">
        <f t="shared" si="82"/>
        <v>17842.115399999999</v>
      </c>
      <c r="M47" s="161"/>
      <c r="N47" s="153">
        <v>0</v>
      </c>
      <c r="O47" s="153">
        <f t="shared" si="83"/>
        <v>42971.8554</v>
      </c>
      <c r="P47" s="153"/>
      <c r="Q47" s="163"/>
      <c r="R47" s="165"/>
      <c r="S47" s="157">
        <v>0</v>
      </c>
      <c r="T47" s="165"/>
      <c r="U47" s="165"/>
      <c r="V47" s="165"/>
      <c r="W47" s="165"/>
      <c r="X47" s="165"/>
      <c r="Y47" s="165"/>
      <c r="Z47" s="165"/>
      <c r="AA47" s="117">
        <f t="shared" ref="AA47" si="88">SUM($H$15*H47/168*24)/6*Z47</f>
        <v>0</v>
      </c>
      <c r="AB47" s="165"/>
      <c r="AC47" s="165"/>
      <c r="AD47" s="164">
        <v>0.5</v>
      </c>
      <c r="AE47" s="153"/>
      <c r="AF47" s="156">
        <f t="shared" si="86"/>
        <v>0</v>
      </c>
      <c r="AG47" s="156">
        <f t="shared" si="87"/>
        <v>42971.8554</v>
      </c>
    </row>
    <row r="48" spans="1:33" ht="18.75" x14ac:dyDescent="0.25">
      <c r="A48" s="219">
        <v>36</v>
      </c>
      <c r="B48" s="248" t="s">
        <v>254</v>
      </c>
      <c r="C48" s="157" t="s">
        <v>213</v>
      </c>
      <c r="D48" s="157" t="s">
        <v>10</v>
      </c>
      <c r="E48" s="160" t="s">
        <v>122</v>
      </c>
      <c r="F48" s="157"/>
      <c r="G48" s="159" t="s">
        <v>216</v>
      </c>
      <c r="H48" s="158">
        <v>2.95</v>
      </c>
      <c r="I48" s="119">
        <v>1</v>
      </c>
      <c r="J48" s="193">
        <f t="shared" si="81"/>
        <v>52206.15</v>
      </c>
      <c r="K48" s="156">
        <v>71</v>
      </c>
      <c r="L48" s="153">
        <f t="shared" si="82"/>
        <v>37066.366499999996</v>
      </c>
      <c r="M48" s="157"/>
      <c r="N48" s="193">
        <f t="shared" ref="N48" si="89">SUM(J48*M48)/100</f>
        <v>0</v>
      </c>
      <c r="O48" s="194">
        <f t="shared" si="83"/>
        <v>89272.516499999998</v>
      </c>
      <c r="P48" s="194"/>
      <c r="Q48" s="156"/>
      <c r="R48" s="157"/>
      <c r="S48" s="157"/>
      <c r="T48" s="157"/>
      <c r="U48" s="157"/>
      <c r="V48" s="156"/>
      <c r="W48" s="157"/>
      <c r="X48" s="157"/>
      <c r="Y48" s="162"/>
      <c r="Z48" s="157"/>
      <c r="AA48" s="117">
        <f t="shared" si="85"/>
        <v>0</v>
      </c>
      <c r="AB48" s="157"/>
      <c r="AC48" s="157"/>
      <c r="AD48" s="119">
        <v>1</v>
      </c>
      <c r="AE48" s="193">
        <f t="shared" ref="AE48" si="90">SUM((J48/I48*AD48)*0.1)</f>
        <v>5220.6150000000007</v>
      </c>
      <c r="AF48" s="156">
        <f t="shared" si="86"/>
        <v>5220.6150000000007</v>
      </c>
      <c r="AG48" s="156">
        <f t="shared" si="87"/>
        <v>94493.131500000003</v>
      </c>
    </row>
    <row r="49" spans="1:33" ht="18.75" x14ac:dyDescent="0.25">
      <c r="A49" s="219">
        <v>27</v>
      </c>
      <c r="B49" s="249" t="s">
        <v>185</v>
      </c>
      <c r="C49" s="157" t="s">
        <v>280</v>
      </c>
      <c r="D49" s="157" t="s">
        <v>121</v>
      </c>
      <c r="E49" s="228">
        <v>2</v>
      </c>
      <c r="F49" s="161"/>
      <c r="G49" s="197">
        <v>36</v>
      </c>
      <c r="H49" s="199">
        <v>2.84</v>
      </c>
      <c r="I49" s="164">
        <v>0.5</v>
      </c>
      <c r="J49" s="156">
        <f t="shared" ref="J49" si="91">$H$15*H49*I49</f>
        <v>25129.739999999998</v>
      </c>
      <c r="K49" s="156">
        <v>71</v>
      </c>
      <c r="L49" s="153">
        <f t="shared" ref="L49" si="92">(J49*K49)/100</f>
        <v>17842.115399999999</v>
      </c>
      <c r="M49" s="161"/>
      <c r="N49" s="153">
        <v>0</v>
      </c>
      <c r="O49" s="153">
        <f t="shared" ref="O49" si="93">J49+L49+N49</f>
        <v>42971.8554</v>
      </c>
      <c r="P49" s="153"/>
      <c r="Q49" s="163"/>
      <c r="R49" s="165"/>
      <c r="S49" s="157">
        <v>0</v>
      </c>
      <c r="T49" s="165"/>
      <c r="U49" s="165"/>
      <c r="V49" s="165"/>
      <c r="W49" s="165"/>
      <c r="X49" s="165"/>
      <c r="Y49" s="165"/>
      <c r="Z49" s="165"/>
      <c r="AA49" s="117">
        <f t="shared" ref="AA49" si="94">SUM($H$15*H49/168*24)/6*Z49</f>
        <v>0</v>
      </c>
      <c r="AB49" s="165"/>
      <c r="AC49" s="165"/>
      <c r="AD49" s="164">
        <v>0.5</v>
      </c>
      <c r="AE49" s="153">
        <f t="shared" ref="AE49" si="95">O49*10%</f>
        <v>4297.1855400000004</v>
      </c>
      <c r="AF49" s="156">
        <f t="shared" ref="AF49" si="96">SUM(Q49,S49,U49,W49,AA49,Y49,AE49,AC49)</f>
        <v>4297.1855400000004</v>
      </c>
      <c r="AG49" s="156">
        <f t="shared" ref="AG49" si="97">SUM(O49+AF49)</f>
        <v>47269.040939999999</v>
      </c>
    </row>
    <row r="50" spans="1:33" ht="18.75" x14ac:dyDescent="0.25">
      <c r="A50" s="219">
        <v>28</v>
      </c>
      <c r="B50" s="256" t="s">
        <v>185</v>
      </c>
      <c r="C50" s="157" t="s">
        <v>214</v>
      </c>
      <c r="D50" s="157" t="s">
        <v>121</v>
      </c>
      <c r="E50" s="192">
        <v>3</v>
      </c>
      <c r="F50" s="119"/>
      <c r="G50" s="198"/>
      <c r="H50" s="200">
        <v>2.84</v>
      </c>
      <c r="I50" s="119">
        <v>1.5</v>
      </c>
      <c r="J50" s="193">
        <f t="shared" ref="J50:J53" si="98">$H$15*H50*I50</f>
        <v>75389.22</v>
      </c>
      <c r="K50" s="156">
        <v>71</v>
      </c>
      <c r="L50" s="153">
        <f t="shared" ref="L50:L53" si="99">(J50*K50)/100</f>
        <v>53526.3462</v>
      </c>
      <c r="M50" s="117"/>
      <c r="N50" s="193"/>
      <c r="O50" s="194">
        <f t="shared" ref="O50:O53" si="100">J50+L50+N50</f>
        <v>128915.5662</v>
      </c>
      <c r="P50" s="194"/>
      <c r="Q50" s="193"/>
      <c r="R50" s="119"/>
      <c r="S50" s="119"/>
      <c r="T50" s="119"/>
      <c r="U50" s="119"/>
      <c r="V50" s="193">
        <v>1</v>
      </c>
      <c r="W50" s="157">
        <f t="shared" ref="W50:W53" si="101">$H$15*0.3*V50</f>
        <v>5309.0999999999995</v>
      </c>
      <c r="X50" s="119"/>
      <c r="Y50" s="162"/>
      <c r="Z50" s="119">
        <v>3</v>
      </c>
      <c r="AA50" s="117">
        <f t="shared" ref="AA50:AA51" si="102">SUM($H$15*H50/168*24)/6*Z50</f>
        <v>3589.9628571428566</v>
      </c>
      <c r="AB50" s="119">
        <v>10</v>
      </c>
      <c r="AC50" s="157">
        <f t="shared" ref="AC50:AC51" si="103">SUM($H$15*H50*I50*0.5/168*8)*AB50</f>
        <v>17949.814285714285</v>
      </c>
      <c r="AD50" s="119">
        <v>1</v>
      </c>
      <c r="AE50" s="193">
        <f t="shared" ref="AE50:AE53" si="104">SUM((J50/I50*AD50)*0.1)</f>
        <v>5025.9480000000003</v>
      </c>
      <c r="AF50" s="156">
        <f t="shared" ref="AF50:AF51" si="105">SUM(Q50,S50,U50,W50,AA50,Y50,AE50,AC50)</f>
        <v>31874.825142857142</v>
      </c>
      <c r="AG50" s="156">
        <f t="shared" ref="AG50:AG51" si="106">SUM(O50+AF50)</f>
        <v>160790.39134285715</v>
      </c>
    </row>
    <row r="51" spans="1:33" ht="18.75" x14ac:dyDescent="0.25">
      <c r="A51" s="219">
        <v>29</v>
      </c>
      <c r="B51" s="256" t="s">
        <v>185</v>
      </c>
      <c r="C51" s="157" t="s">
        <v>214</v>
      </c>
      <c r="D51" s="157" t="s">
        <v>121</v>
      </c>
      <c r="E51" s="192">
        <v>3</v>
      </c>
      <c r="F51" s="119"/>
      <c r="G51" s="198"/>
      <c r="H51" s="200">
        <v>2.84</v>
      </c>
      <c r="I51" s="119">
        <v>1.5</v>
      </c>
      <c r="J51" s="193">
        <f t="shared" si="98"/>
        <v>75389.22</v>
      </c>
      <c r="K51" s="156">
        <v>71</v>
      </c>
      <c r="L51" s="153">
        <f t="shared" si="99"/>
        <v>53526.3462</v>
      </c>
      <c r="M51" s="117"/>
      <c r="N51" s="193"/>
      <c r="O51" s="194">
        <f t="shared" si="100"/>
        <v>128915.5662</v>
      </c>
      <c r="P51" s="194"/>
      <c r="Q51" s="193"/>
      <c r="R51" s="119"/>
      <c r="S51" s="119"/>
      <c r="T51" s="119"/>
      <c r="U51" s="119"/>
      <c r="V51" s="193">
        <v>1</v>
      </c>
      <c r="W51" s="157">
        <f t="shared" si="101"/>
        <v>5309.0999999999995</v>
      </c>
      <c r="X51" s="119"/>
      <c r="Y51" s="162"/>
      <c r="Z51" s="119"/>
      <c r="AA51" s="117">
        <f t="shared" si="102"/>
        <v>0</v>
      </c>
      <c r="AB51" s="119">
        <v>10</v>
      </c>
      <c r="AC51" s="157">
        <f t="shared" si="103"/>
        <v>17949.814285714285</v>
      </c>
      <c r="AD51" s="119">
        <v>1</v>
      </c>
      <c r="AE51" s="193">
        <f t="shared" si="104"/>
        <v>5025.9480000000003</v>
      </c>
      <c r="AF51" s="156">
        <f t="shared" si="105"/>
        <v>28284.862285714284</v>
      </c>
      <c r="AG51" s="156">
        <f t="shared" si="106"/>
        <v>157200.42848571428</v>
      </c>
    </row>
    <row r="52" spans="1:33" ht="18.75" x14ac:dyDescent="0.25">
      <c r="A52" s="219">
        <v>30</v>
      </c>
      <c r="B52" s="256" t="s">
        <v>281</v>
      </c>
      <c r="C52" s="157" t="s">
        <v>282</v>
      </c>
      <c r="D52" s="157" t="s">
        <v>121</v>
      </c>
      <c r="E52" s="192">
        <v>3</v>
      </c>
      <c r="F52" s="119"/>
      <c r="G52" s="198"/>
      <c r="H52" s="200">
        <v>2.81</v>
      </c>
      <c r="I52" s="119">
        <v>1</v>
      </c>
      <c r="J52" s="193">
        <f t="shared" ref="J52" si="107">$H$15*H52*I52</f>
        <v>49728.57</v>
      </c>
      <c r="K52" s="156">
        <v>71</v>
      </c>
      <c r="L52" s="153">
        <f t="shared" ref="L52" si="108">(J52*K52)/100</f>
        <v>35307.284700000004</v>
      </c>
      <c r="M52" s="117"/>
      <c r="N52" s="193"/>
      <c r="O52" s="194">
        <f t="shared" ref="O52" si="109">J52+L52+N52</f>
        <v>85035.854699999996</v>
      </c>
      <c r="P52" s="194"/>
      <c r="Q52" s="193"/>
      <c r="R52" s="119"/>
      <c r="S52" s="119"/>
      <c r="T52" s="119"/>
      <c r="U52" s="119"/>
      <c r="V52" s="193"/>
      <c r="W52" s="157">
        <f t="shared" ref="W52" si="110">$H$15*0.3*V52</f>
        <v>0</v>
      </c>
      <c r="X52" s="119"/>
      <c r="Y52" s="162"/>
      <c r="Z52" s="119"/>
      <c r="AA52" s="117">
        <f t="shared" ref="AA52" si="111">SUM($H$15*H52/168*24)/6*Z52</f>
        <v>0</v>
      </c>
      <c r="AB52" s="119"/>
      <c r="AC52" s="157">
        <f t="shared" ref="AC52" si="112">SUM($H$15*H52*I52*0.5/168*8)*AB52</f>
        <v>0</v>
      </c>
      <c r="AD52" s="119">
        <v>1</v>
      </c>
      <c r="AE52" s="193">
        <f t="shared" ref="AE52" si="113">SUM((J52/I52*AD52)*0.1)</f>
        <v>4972.857</v>
      </c>
      <c r="AF52" s="156">
        <f t="shared" ref="AF52" si="114">SUM(Q52,S52,U52,W52,AA52,Y52,AE52,AC52)</f>
        <v>4972.857</v>
      </c>
      <c r="AG52" s="156">
        <f t="shared" ref="AG52" si="115">SUM(O52+AF52)</f>
        <v>90008.7117</v>
      </c>
    </row>
    <row r="53" spans="1:33" ht="18.75" x14ac:dyDescent="0.25">
      <c r="A53" s="219">
        <v>31</v>
      </c>
      <c r="B53" s="256" t="s">
        <v>185</v>
      </c>
      <c r="C53" s="157" t="s">
        <v>219</v>
      </c>
      <c r="D53" s="157" t="s">
        <v>121</v>
      </c>
      <c r="E53" s="192">
        <v>1</v>
      </c>
      <c r="F53" s="119"/>
      <c r="G53" s="198"/>
      <c r="H53" s="200">
        <v>2.81</v>
      </c>
      <c r="I53" s="119">
        <v>1</v>
      </c>
      <c r="J53" s="193">
        <f t="shared" si="98"/>
        <v>49728.57</v>
      </c>
      <c r="K53" s="156">
        <v>71</v>
      </c>
      <c r="L53" s="153">
        <f t="shared" si="99"/>
        <v>35307.284700000004</v>
      </c>
      <c r="M53" s="117"/>
      <c r="N53" s="193"/>
      <c r="O53" s="194">
        <f t="shared" si="100"/>
        <v>85035.854699999996</v>
      </c>
      <c r="P53" s="194"/>
      <c r="Q53" s="193"/>
      <c r="R53" s="119"/>
      <c r="S53" s="119"/>
      <c r="T53" s="119"/>
      <c r="U53" s="119"/>
      <c r="V53" s="193">
        <v>1</v>
      </c>
      <c r="W53" s="157">
        <f t="shared" si="101"/>
        <v>5309.0999999999995</v>
      </c>
      <c r="X53" s="119"/>
      <c r="Y53" s="162"/>
      <c r="Z53" s="119"/>
      <c r="AA53" s="117"/>
      <c r="AB53" s="119"/>
      <c r="AC53" s="157"/>
      <c r="AD53" s="119">
        <v>1</v>
      </c>
      <c r="AE53" s="193">
        <f t="shared" si="104"/>
        <v>4972.857</v>
      </c>
      <c r="AF53" s="156">
        <f t="shared" ref="AF53" si="116">SUM(Q53,S53,U53,W53,AA53,Y53,AE53,AC53)</f>
        <v>10281.956999999999</v>
      </c>
      <c r="AG53" s="156">
        <f t="shared" ref="AG53" si="117">SUM(O53+AF53)</f>
        <v>95317.811699999991</v>
      </c>
    </row>
    <row r="54" spans="1:33" x14ac:dyDescent="0.25">
      <c r="A54" s="154"/>
      <c r="B54" s="155" t="s">
        <v>120</v>
      </c>
      <c r="C54" s="154"/>
      <c r="D54" s="154"/>
      <c r="E54" s="154"/>
      <c r="F54" s="154"/>
      <c r="G54" s="154"/>
      <c r="H54" s="154"/>
      <c r="I54" s="230">
        <f t="shared" ref="I54:AG54" si="118">SUM(I20:I53)</f>
        <v>36.5</v>
      </c>
      <c r="J54" s="230">
        <f t="shared" si="118"/>
        <v>2121427.875</v>
      </c>
      <c r="K54" s="230">
        <f t="shared" si="118"/>
        <v>2676</v>
      </c>
      <c r="L54" s="230">
        <f t="shared" si="118"/>
        <v>1685933.9050500004</v>
      </c>
      <c r="M54" s="230">
        <f t="shared" si="118"/>
        <v>350</v>
      </c>
      <c r="N54" s="230">
        <f t="shared" si="118"/>
        <v>407761.00125000003</v>
      </c>
      <c r="O54" s="230">
        <f t="shared" si="118"/>
        <v>4215122.7813000008</v>
      </c>
      <c r="P54" s="230">
        <f t="shared" si="118"/>
        <v>60</v>
      </c>
      <c r="Q54" s="230">
        <f t="shared" si="118"/>
        <v>143478.42750000002</v>
      </c>
      <c r="R54" s="230">
        <f t="shared" si="118"/>
        <v>1</v>
      </c>
      <c r="S54" s="230">
        <f t="shared" si="118"/>
        <v>3539</v>
      </c>
      <c r="T54" s="230">
        <f t="shared" si="118"/>
        <v>0</v>
      </c>
      <c r="U54" s="230">
        <f t="shared" si="118"/>
        <v>0</v>
      </c>
      <c r="V54" s="230">
        <f t="shared" si="118"/>
        <v>12</v>
      </c>
      <c r="W54" s="230">
        <f t="shared" si="118"/>
        <v>63709.19999999999</v>
      </c>
      <c r="X54" s="230">
        <f t="shared" si="118"/>
        <v>70</v>
      </c>
      <c r="Y54" s="230">
        <f t="shared" si="118"/>
        <v>12387.9</v>
      </c>
      <c r="Z54" s="230">
        <f t="shared" si="118"/>
        <v>15</v>
      </c>
      <c r="AA54" s="230">
        <f t="shared" si="118"/>
        <v>17886.610714285714</v>
      </c>
      <c r="AB54" s="230">
        <f t="shared" si="118"/>
        <v>55</v>
      </c>
      <c r="AC54" s="230">
        <f t="shared" si="118"/>
        <v>98439.562499999985</v>
      </c>
      <c r="AD54" s="230">
        <f t="shared" si="118"/>
        <v>30</v>
      </c>
      <c r="AE54" s="230">
        <f t="shared" si="118"/>
        <v>246413.91284999991</v>
      </c>
      <c r="AF54" s="230">
        <f t="shared" si="118"/>
        <v>585854.61356428568</v>
      </c>
      <c r="AG54" s="230">
        <f t="shared" si="118"/>
        <v>4800977.3948642854</v>
      </c>
    </row>
    <row r="55" spans="1:33" x14ac:dyDescent="0.25">
      <c r="A55" s="151"/>
      <c r="B55" s="151"/>
      <c r="C55" s="151"/>
      <c r="D55" s="151"/>
      <c r="E55" s="151"/>
      <c r="F55" s="151"/>
      <c r="G55" s="151"/>
      <c r="H55" s="152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</row>
    <row r="56" spans="1:33" ht="23.25" customHeight="1" x14ac:dyDescent="0.25">
      <c r="A56" s="147"/>
      <c r="B56" s="147"/>
      <c r="C56" s="148" t="s">
        <v>227</v>
      </c>
      <c r="D56" s="148"/>
      <c r="E56" s="148"/>
      <c r="F56" s="148" t="s">
        <v>241</v>
      </c>
      <c r="G56" s="148"/>
      <c r="H56" s="149"/>
      <c r="I56" s="148"/>
      <c r="J56" s="148"/>
      <c r="K56" s="148" t="s">
        <v>233</v>
      </c>
      <c r="L56" s="148"/>
      <c r="M56" s="148" t="s">
        <v>234</v>
      </c>
      <c r="N56" s="148"/>
      <c r="O56" s="148"/>
      <c r="P56" s="148" t="s">
        <v>231</v>
      </c>
      <c r="Q56" s="148"/>
      <c r="R56" s="148"/>
      <c r="S56" s="227" t="s">
        <v>232</v>
      </c>
      <c r="T56" s="148"/>
      <c r="U56" s="148"/>
      <c r="V56" s="147"/>
      <c r="W56" s="148"/>
      <c r="X56" s="148"/>
      <c r="Y56" s="148"/>
      <c r="Z56" s="148"/>
      <c r="AA56" s="148"/>
      <c r="AB56" s="147"/>
      <c r="AC56" s="147"/>
      <c r="AD56" s="147"/>
      <c r="AE56" s="147"/>
      <c r="AF56" s="147"/>
      <c r="AG56" s="150"/>
    </row>
    <row r="57" spans="1:33" ht="26.25" customHeight="1" x14ac:dyDescent="0.25">
      <c r="A57" s="147"/>
      <c r="B57" s="147"/>
      <c r="C57" s="148" t="s">
        <v>228</v>
      </c>
      <c r="D57" s="148"/>
      <c r="E57" s="148"/>
      <c r="F57" s="227" t="s">
        <v>229</v>
      </c>
      <c r="G57" s="227"/>
      <c r="H57" s="149"/>
      <c r="I57" s="148"/>
      <c r="J57" s="148"/>
      <c r="K57" s="148" t="s">
        <v>230</v>
      </c>
      <c r="L57" s="148"/>
      <c r="M57" s="148" t="s">
        <v>235</v>
      </c>
      <c r="N57" s="148"/>
      <c r="O57" s="148"/>
      <c r="P57" s="148"/>
      <c r="Q57" s="148"/>
      <c r="R57" s="148"/>
      <c r="S57" s="147"/>
      <c r="T57" s="148"/>
      <c r="U57" s="148"/>
      <c r="V57" s="147"/>
      <c r="W57" s="148"/>
      <c r="X57" s="148"/>
      <c r="Y57" s="148"/>
      <c r="Z57" s="148"/>
      <c r="AA57" s="148"/>
      <c r="AB57" s="147"/>
      <c r="AC57" s="147"/>
      <c r="AD57" s="147"/>
      <c r="AE57" s="147"/>
      <c r="AF57" s="147"/>
      <c r="AG57" s="147"/>
    </row>
    <row r="58" spans="1:33" ht="25.5" customHeight="1" x14ac:dyDescent="0.25">
      <c r="A58" s="147"/>
      <c r="B58" s="147"/>
      <c r="D58" s="148"/>
      <c r="E58" s="148"/>
      <c r="G58" s="148"/>
      <c r="H58" s="149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7"/>
      <c r="T58" s="148"/>
      <c r="U58" s="148"/>
      <c r="V58" s="147"/>
      <c r="W58" s="148"/>
      <c r="X58" s="148"/>
      <c r="Y58" s="148"/>
      <c r="Z58" s="148"/>
      <c r="AA58" s="148"/>
      <c r="AB58" s="147"/>
      <c r="AC58" s="147"/>
      <c r="AD58" s="147"/>
      <c r="AE58" s="147"/>
      <c r="AF58" s="147"/>
      <c r="AG58" s="147"/>
    </row>
    <row r="59" spans="1:33" ht="27" customHeight="1" x14ac:dyDescent="0.25">
      <c r="A59" s="147"/>
      <c r="B59" s="147"/>
      <c r="D59" s="148"/>
      <c r="E59" s="148"/>
      <c r="G59" s="227"/>
      <c r="H59" s="149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7"/>
      <c r="T59" s="331"/>
      <c r="U59" s="331"/>
      <c r="V59" s="147"/>
      <c r="W59" s="148"/>
      <c r="X59" s="148"/>
      <c r="Y59" s="148"/>
      <c r="Z59" s="148"/>
      <c r="AA59" s="148"/>
      <c r="AB59" s="147"/>
      <c r="AC59" s="147"/>
      <c r="AD59" s="147"/>
      <c r="AE59" s="147"/>
      <c r="AF59" s="147"/>
      <c r="AG59" s="147"/>
    </row>
    <row r="60" spans="1:33" x14ac:dyDescent="0.25">
      <c r="A60" s="145"/>
      <c r="B60" s="145"/>
      <c r="C60" s="145"/>
      <c r="D60" s="145"/>
      <c r="E60" s="145"/>
      <c r="F60" s="145"/>
      <c r="G60" s="145"/>
      <c r="H60" s="146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</row>
    <row r="61" spans="1:33" x14ac:dyDescent="0.25">
      <c r="A61" s="145"/>
      <c r="B61" s="145"/>
      <c r="C61" s="145"/>
      <c r="D61" s="145"/>
      <c r="E61" s="145"/>
      <c r="F61" s="145"/>
      <c r="G61" s="145"/>
      <c r="H61" s="146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</row>
    <row r="62" spans="1:33" x14ac:dyDescent="0.25">
      <c r="A62" s="145"/>
      <c r="B62" s="145"/>
      <c r="C62" s="145"/>
      <c r="D62" s="145"/>
      <c r="E62" s="145"/>
      <c r="F62" s="145"/>
      <c r="G62" s="145"/>
      <c r="H62" s="146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</row>
    <row r="63" spans="1:33" x14ac:dyDescent="0.25">
      <c r="A63" s="145"/>
      <c r="B63" s="145"/>
      <c r="C63" s="145"/>
      <c r="D63" s="145"/>
      <c r="E63" s="145"/>
      <c r="F63" s="145"/>
      <c r="G63" s="145"/>
      <c r="H63" s="146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</row>
    <row r="64" spans="1:33" x14ac:dyDescent="0.25">
      <c r="A64" s="145"/>
      <c r="B64" s="145"/>
      <c r="C64" s="145"/>
      <c r="D64" s="145"/>
      <c r="E64" s="145"/>
      <c r="F64" s="145"/>
      <c r="G64" s="145"/>
      <c r="H64" s="146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</row>
    <row r="65" spans="1:33" x14ac:dyDescent="0.25">
      <c r="A65" s="145"/>
      <c r="B65" s="145"/>
      <c r="C65" s="145"/>
      <c r="D65" s="145"/>
      <c r="E65" s="145"/>
      <c r="F65" s="145"/>
      <c r="G65" s="145"/>
      <c r="H65" s="146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</row>
  </sheetData>
  <mergeCells count="37">
    <mergeCell ref="A42:A43"/>
    <mergeCell ref="B42:B43"/>
    <mergeCell ref="A16:A18"/>
    <mergeCell ref="B16:B18"/>
    <mergeCell ref="B29:B30"/>
    <mergeCell ref="A29:A30"/>
    <mergeCell ref="C16:C18"/>
    <mergeCell ref="D16:D18"/>
    <mergeCell ref="E16:F16"/>
    <mergeCell ref="E17:E18"/>
    <mergeCell ref="F17:F18"/>
    <mergeCell ref="J15:N15"/>
    <mergeCell ref="E3:M3"/>
    <mergeCell ref="Q12:S12"/>
    <mergeCell ref="Q3:S3"/>
    <mergeCell ref="B1:C8"/>
    <mergeCell ref="P17:Q17"/>
    <mergeCell ref="R17:S17"/>
    <mergeCell ref="T17:U17"/>
    <mergeCell ref="V17:W17"/>
    <mergeCell ref="Z17:AA17"/>
    <mergeCell ref="B46:B47"/>
    <mergeCell ref="A46:A47"/>
    <mergeCell ref="T59:U59"/>
    <mergeCell ref="AG16:AG18"/>
    <mergeCell ref="AB17:AC17"/>
    <mergeCell ref="AD17:AE17"/>
    <mergeCell ref="AF17:AF18"/>
    <mergeCell ref="G16:G18"/>
    <mergeCell ref="U16:AE16"/>
    <mergeCell ref="M16:N17"/>
    <mergeCell ref="O16:O18"/>
    <mergeCell ref="X17:Y17"/>
    <mergeCell ref="H16:H18"/>
    <mergeCell ref="I16:I18"/>
    <mergeCell ref="J16:J18"/>
    <mergeCell ref="K17:L18"/>
  </mergeCells>
  <phoneticPr fontId="20" type="noConversion"/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Тариф 01.09.2024г.</vt:lpstr>
      <vt:lpstr>Айти</vt:lpstr>
      <vt:lpstr>Штат</vt:lpstr>
      <vt:lpstr>Айти!Область_печати</vt:lpstr>
      <vt:lpstr>'Тариф 01.09.2024г.'!Область_печати</vt:lpstr>
      <vt:lpstr>Штат!Область_печати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student</cp:lastModifiedBy>
  <cp:lastPrinted>2024-10-10T03:44:09Z</cp:lastPrinted>
  <dcterms:created xsi:type="dcterms:W3CDTF">2014-03-18T18:18:42Z</dcterms:created>
  <dcterms:modified xsi:type="dcterms:W3CDTF">2024-10-18T09:37:26Z</dcterms:modified>
</cp:coreProperties>
</file>