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student\Desktop\тариф 09.2024\"/>
    </mc:Choice>
  </mc:AlternateContent>
  <xr:revisionPtr revIDLastSave="0" documentId="13_ncr:1_{A1F97F0E-7DF0-453D-BD9C-54F32E96B4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ариф 01.10.2024г." sheetId="6" r:id="rId1"/>
    <sheet name="Штат" sheetId="8" r:id="rId2"/>
  </sheets>
  <definedNames>
    <definedName name="_xlnm._FilterDatabase" localSheetId="0" hidden="1">'Тариф 01.10.2024г.'!$A$41:$AO$63</definedName>
    <definedName name="Excel_BuiltIn_Print_Area_7">#REF!</definedName>
    <definedName name="БДО">#REF!</definedName>
    <definedName name="_xlnm.Print_Area" localSheetId="0">'Тариф 01.10.2024г.'!$A$1:$AX$66</definedName>
    <definedName name="_xlnm.Print_Area" localSheetId="1">Штат!$A$1:$AG$29</definedName>
  </definedNames>
  <calcPr calcId="191029"/>
</workbook>
</file>

<file path=xl/calcChain.xml><?xml version="1.0" encoding="utf-8"?>
<calcChain xmlns="http://schemas.openxmlformats.org/spreadsheetml/2006/main">
  <c r="R48" i="6" l="1"/>
  <c r="M62" i="6"/>
  <c r="N62" i="6"/>
  <c r="O62" i="6"/>
  <c r="P62" i="6"/>
  <c r="Q62" i="6"/>
  <c r="AE62" i="6"/>
  <c r="AG62" i="6"/>
  <c r="AH62" i="6"/>
  <c r="AI62" i="6"/>
  <c r="AL62" i="6"/>
  <c r="AM62" i="6"/>
  <c r="AP62" i="6"/>
  <c r="AQ62" i="6"/>
  <c r="AS62" i="6"/>
  <c r="AU62" i="6"/>
  <c r="AW62" i="6"/>
  <c r="AV61" i="6"/>
  <c r="AT61" i="6"/>
  <c r="AR61" i="6"/>
  <c r="AO61" i="6"/>
  <c r="AN61" i="6"/>
  <c r="AK61" i="6"/>
  <c r="AJ61" i="6"/>
  <c r="Z61" i="6"/>
  <c r="AA61" i="6" s="1"/>
  <c r="R61" i="6"/>
  <c r="AB61" i="6" s="1"/>
  <c r="I61" i="6"/>
  <c r="J61" i="6" s="1"/>
  <c r="K61" i="6" s="1"/>
  <c r="AD61" i="6" l="1"/>
  <c r="L61" i="6"/>
  <c r="AF61" i="6" l="1"/>
  <c r="W61" i="6"/>
  <c r="S61" i="6"/>
  <c r="V61" i="6"/>
  <c r="T61" i="6"/>
  <c r="AC61" i="6"/>
  <c r="U61" i="6"/>
  <c r="X61" i="6" l="1"/>
  <c r="Y61" i="6" s="1"/>
  <c r="AX61" i="6" s="1"/>
  <c r="AV60" i="6" l="1"/>
  <c r="AT60" i="6"/>
  <c r="AR60" i="6"/>
  <c r="AO60" i="6"/>
  <c r="AN60" i="6"/>
  <c r="AK60" i="6"/>
  <c r="AJ60" i="6"/>
  <c r="Z60" i="6"/>
  <c r="AA60" i="6" s="1"/>
  <c r="R60" i="6"/>
  <c r="AD60" i="6" s="1"/>
  <c r="I60" i="6"/>
  <c r="J60" i="6" s="1"/>
  <c r="AV59" i="6"/>
  <c r="AT59" i="6"/>
  <c r="AR59" i="6"/>
  <c r="AO59" i="6"/>
  <c r="AN59" i="6"/>
  <c r="AK59" i="6"/>
  <c r="AJ59" i="6"/>
  <c r="Z59" i="6"/>
  <c r="AA59" i="6" s="1"/>
  <c r="R59" i="6"/>
  <c r="AD59" i="6" s="1"/>
  <c r="I59" i="6"/>
  <c r="J59" i="6" s="1"/>
  <c r="K59" i="6" s="1"/>
  <c r="AV48" i="6"/>
  <c r="AT48" i="6"/>
  <c r="AR48" i="6"/>
  <c r="AO48" i="6"/>
  <c r="AN48" i="6"/>
  <c r="AK48" i="6"/>
  <c r="AJ48" i="6"/>
  <c r="Z48" i="6"/>
  <c r="AA48" i="6" s="1"/>
  <c r="AB48" i="6"/>
  <c r="I48" i="6"/>
  <c r="J48" i="6" s="1"/>
  <c r="L48" i="6" s="1"/>
  <c r="AV55" i="6"/>
  <c r="AT55" i="6"/>
  <c r="AR55" i="6"/>
  <c r="AO55" i="6"/>
  <c r="AN55" i="6"/>
  <c r="AK55" i="6"/>
  <c r="AJ55" i="6"/>
  <c r="Z55" i="6"/>
  <c r="AA55" i="6" s="1"/>
  <c r="R55" i="6"/>
  <c r="AD55" i="6" s="1"/>
  <c r="I55" i="6"/>
  <c r="J55" i="6" s="1"/>
  <c r="K55" i="6" s="1"/>
  <c r="AB60" i="6" l="1"/>
  <c r="L60" i="6"/>
  <c r="K60" i="6"/>
  <c r="AB59" i="6"/>
  <c r="L59" i="6"/>
  <c r="AF48" i="6"/>
  <c r="V48" i="6"/>
  <c r="W48" i="6"/>
  <c r="AC48" i="6"/>
  <c r="U48" i="6"/>
  <c r="T48" i="6"/>
  <c r="S48" i="6"/>
  <c r="X48" i="6" s="1"/>
  <c r="K48" i="6"/>
  <c r="AB55" i="6"/>
  <c r="L55" i="6"/>
  <c r="AF60" i="6" l="1"/>
  <c r="W60" i="6"/>
  <c r="S60" i="6"/>
  <c r="U60" i="6"/>
  <c r="V60" i="6"/>
  <c r="AC60" i="6"/>
  <c r="T60" i="6"/>
  <c r="AF59" i="6"/>
  <c r="W59" i="6"/>
  <c r="S59" i="6"/>
  <c r="V59" i="6"/>
  <c r="AC59" i="6"/>
  <c r="U59" i="6"/>
  <c r="T59" i="6"/>
  <c r="Y48" i="6"/>
  <c r="AX48" i="6" s="1"/>
  <c r="AF55" i="6"/>
  <c r="W55" i="6"/>
  <c r="S55" i="6"/>
  <c r="V55" i="6"/>
  <c r="T55" i="6"/>
  <c r="AC55" i="6"/>
  <c r="U55" i="6"/>
  <c r="X60" i="6" l="1"/>
  <c r="X59" i="6"/>
  <c r="X55" i="6"/>
  <c r="Y60" i="6" l="1"/>
  <c r="AX60" i="6" s="1"/>
  <c r="Y59" i="6"/>
  <c r="AX59" i="6" s="1"/>
  <c r="Y55" i="6"/>
  <c r="AX55" i="6" s="1"/>
  <c r="J20" i="8" l="1"/>
  <c r="L20" i="8" s="1"/>
  <c r="U20" i="8"/>
  <c r="W20" i="8"/>
  <c r="Y20" i="8"/>
  <c r="AA20" i="8"/>
  <c r="AC20" i="8"/>
  <c r="J21" i="8"/>
  <c r="L21" i="8" s="1"/>
  <c r="N21" i="8" s="1"/>
  <c r="S21" i="8"/>
  <c r="U21" i="8"/>
  <c r="W21" i="8"/>
  <c r="Y21" i="8"/>
  <c r="AA21" i="8"/>
  <c r="AC21" i="8"/>
  <c r="J23" i="8"/>
  <c r="L23" i="8" s="1"/>
  <c r="S23" i="8"/>
  <c r="U23" i="8"/>
  <c r="W23" i="8"/>
  <c r="Y23" i="8"/>
  <c r="AA23" i="8"/>
  <c r="AC23" i="8"/>
  <c r="R58" i="6"/>
  <c r="AD58" i="6" s="1"/>
  <c r="I58" i="6"/>
  <c r="J58" i="6" s="1"/>
  <c r="L58" i="6" s="1"/>
  <c r="S58" i="6" s="1"/>
  <c r="AV57" i="6"/>
  <c r="AT57" i="6"/>
  <c r="AR57" i="6"/>
  <c r="AO57" i="6"/>
  <c r="AN57" i="6"/>
  <c r="AK57" i="6"/>
  <c r="AJ57" i="6"/>
  <c r="Z57" i="6"/>
  <c r="AA57" i="6" s="1"/>
  <c r="R57" i="6"/>
  <c r="AD57" i="6" s="1"/>
  <c r="I57" i="6"/>
  <c r="J57" i="6" s="1"/>
  <c r="K57" i="6" s="1"/>
  <c r="AB58" i="6" l="1"/>
  <c r="AC58" i="6" s="1"/>
  <c r="AF58" i="6"/>
  <c r="AE23" i="8"/>
  <c r="AF23" i="8"/>
  <c r="AF21" i="8"/>
  <c r="N20" i="8"/>
  <c r="O20" i="8" s="1"/>
  <c r="N23" i="8"/>
  <c r="O23" i="8" s="1"/>
  <c r="O21" i="8"/>
  <c r="AG21" i="8" s="1"/>
  <c r="AB57" i="6"/>
  <c r="T58" i="6"/>
  <c r="W58" i="6"/>
  <c r="U58" i="6"/>
  <c r="V58" i="6"/>
  <c r="K58" i="6"/>
  <c r="L57" i="6"/>
  <c r="X58" i="6" l="1"/>
  <c r="Y58" i="6" s="1"/>
  <c r="AX58" i="6" s="1"/>
  <c r="AG23" i="8"/>
  <c r="Q20" i="8"/>
  <c r="AF57" i="6"/>
  <c r="W57" i="6"/>
  <c r="S57" i="6"/>
  <c r="T57" i="6"/>
  <c r="V57" i="6"/>
  <c r="AC57" i="6"/>
  <c r="U57" i="6"/>
  <c r="AF20" i="8" l="1"/>
  <c r="AG20" i="8" s="1"/>
  <c r="X57" i="6"/>
  <c r="Y57" i="6" s="1"/>
  <c r="AX57" i="6" s="1"/>
  <c r="Z54" i="6" l="1"/>
  <c r="AA54" i="6" s="1"/>
  <c r="Z56" i="6"/>
  <c r="AA56" i="6" s="1"/>
  <c r="R54" i="6"/>
  <c r="AD54" i="6" s="1"/>
  <c r="I54" i="6"/>
  <c r="J54" i="6" s="1"/>
  <c r="L54" i="6" s="1"/>
  <c r="W54" i="6" s="1"/>
  <c r="R52" i="6"/>
  <c r="I52" i="6"/>
  <c r="J52" i="6" s="1"/>
  <c r="L52" i="6" s="1"/>
  <c r="AF52" i="6" s="1"/>
  <c r="AN43" i="6"/>
  <c r="AO43" i="6"/>
  <c r="AN44" i="6"/>
  <c r="AO44" i="6"/>
  <c r="AK43" i="6"/>
  <c r="AJ43" i="6"/>
  <c r="AC22" i="8"/>
  <c r="AA22" i="8"/>
  <c r="J22" i="8"/>
  <c r="L22" i="8" s="1"/>
  <c r="I47" i="6"/>
  <c r="J47" i="6" s="1"/>
  <c r="R47" i="6"/>
  <c r="AB47" i="6" s="1"/>
  <c r="AK47" i="6"/>
  <c r="AV47" i="6"/>
  <c r="AS17" i="6"/>
  <c r="AS18" i="6"/>
  <c r="AC54" i="6" l="1"/>
  <c r="U54" i="6"/>
  <c r="AF54" i="6"/>
  <c r="S54" i="6"/>
  <c r="T54" i="6"/>
  <c r="K54" i="6"/>
  <c r="W52" i="6"/>
  <c r="AC52" i="6"/>
  <c r="U52" i="6"/>
  <c r="S52" i="6"/>
  <c r="T52" i="6"/>
  <c r="V52" i="6"/>
  <c r="K52" i="6"/>
  <c r="N22" i="8"/>
  <c r="O22" i="8" s="1"/>
  <c r="AD47" i="6"/>
  <c r="L47" i="6"/>
  <c r="K47" i="6"/>
  <c r="AO56" i="6"/>
  <c r="AN56" i="6"/>
  <c r="AJ56" i="6"/>
  <c r="R56" i="6"/>
  <c r="AB56" i="6" s="1"/>
  <c r="I56" i="6"/>
  <c r="J56" i="6" s="1"/>
  <c r="L56" i="6" s="1"/>
  <c r="W56" i="6" s="1"/>
  <c r="R50" i="6"/>
  <c r="I50" i="6"/>
  <c r="J50" i="6" s="1"/>
  <c r="L50" i="6" s="1"/>
  <c r="W50" i="6" s="1"/>
  <c r="AK46" i="6"/>
  <c r="AS10" i="6"/>
  <c r="AS9" i="6"/>
  <c r="AP32" i="6"/>
  <c r="AQ32" i="6"/>
  <c r="AR32" i="6"/>
  <c r="I26" i="8"/>
  <c r="K26" i="8"/>
  <c r="M26" i="8"/>
  <c r="P26" i="8"/>
  <c r="R26" i="8"/>
  <c r="T26" i="8"/>
  <c r="V26" i="8"/>
  <c r="X26" i="8"/>
  <c r="Z26" i="8"/>
  <c r="AB26" i="8"/>
  <c r="AD26" i="8"/>
  <c r="X54" i="6" l="1"/>
  <c r="Y54" i="6"/>
  <c r="AX54" i="6" s="1"/>
  <c r="X52" i="6"/>
  <c r="Y52" i="6" s="1"/>
  <c r="AE22" i="8"/>
  <c r="AF22" i="8" s="1"/>
  <c r="AG22" i="8" s="1"/>
  <c r="AC47" i="6"/>
  <c r="AF47" i="6"/>
  <c r="W47" i="6"/>
  <c r="S47" i="6"/>
  <c r="T47" i="6"/>
  <c r="U47" i="6"/>
  <c r="V47" i="6"/>
  <c r="AC56" i="6"/>
  <c r="AD56" i="6"/>
  <c r="AF56" i="6" s="1"/>
  <c r="U56" i="6"/>
  <c r="S56" i="6"/>
  <c r="T56" i="6"/>
  <c r="V56" i="6"/>
  <c r="K56" i="6"/>
  <c r="U50" i="6"/>
  <c r="S50" i="6"/>
  <c r="T50" i="6"/>
  <c r="V50" i="6"/>
  <c r="K50" i="6"/>
  <c r="AV46" i="6"/>
  <c r="R46" i="6"/>
  <c r="AB46" i="6" s="1"/>
  <c r="I46" i="6"/>
  <c r="J46" i="6" s="1"/>
  <c r="Z43" i="6"/>
  <c r="R43" i="6"/>
  <c r="I43" i="6"/>
  <c r="AA43" i="6" l="1"/>
  <c r="J43" i="6"/>
  <c r="AB43" i="6"/>
  <c r="AX52" i="6"/>
  <c r="X47" i="6"/>
  <c r="X56" i="6"/>
  <c r="X50" i="6"/>
  <c r="AD43" i="6"/>
  <c r="AD46" i="6"/>
  <c r="L46" i="6"/>
  <c r="K46" i="6"/>
  <c r="AQ11" i="6"/>
  <c r="AQ6" i="6" s="1"/>
  <c r="AR11" i="6"/>
  <c r="AR6" i="6" s="1"/>
  <c r="R44" i="6"/>
  <c r="R62" i="6" s="1"/>
  <c r="R45" i="6"/>
  <c r="R49" i="6"/>
  <c r="R51" i="6"/>
  <c r="R53" i="6"/>
  <c r="L43" i="6" l="1"/>
  <c r="S43" i="6" s="1"/>
  <c r="K43" i="6"/>
  <c r="Y56" i="6"/>
  <c r="AX56" i="6" s="1"/>
  <c r="Y47" i="6"/>
  <c r="AX47" i="6" s="1"/>
  <c r="Y50" i="6"/>
  <c r="AX50" i="6" s="1"/>
  <c r="AC46" i="6"/>
  <c r="U46" i="6"/>
  <c r="AF46" i="6"/>
  <c r="W46" i="6"/>
  <c r="T46" i="6"/>
  <c r="V46" i="6"/>
  <c r="S46" i="6"/>
  <c r="AC43" i="6"/>
  <c r="U43" i="6"/>
  <c r="V43" i="6"/>
  <c r="J25" i="8"/>
  <c r="N25" i="8" s="1"/>
  <c r="AA25" i="8"/>
  <c r="J24" i="8"/>
  <c r="N24" i="8" s="1"/>
  <c r="AA24" i="8"/>
  <c r="W43" i="6" l="1"/>
  <c r="AF43" i="6"/>
  <c r="T43" i="6"/>
  <c r="X46" i="6"/>
  <c r="X43" i="6"/>
  <c r="L25" i="8"/>
  <c r="O25" i="8" s="1"/>
  <c r="L24" i="8"/>
  <c r="O24" i="8" s="1"/>
  <c r="AE25" i="8"/>
  <c r="AF25" i="8" s="1"/>
  <c r="AE24" i="8"/>
  <c r="AF24" i="8" s="1"/>
  <c r="Y43" i="6" l="1"/>
  <c r="AG25" i="8"/>
  <c r="Y46" i="6"/>
  <c r="AX46" i="6" s="1"/>
  <c r="AG24" i="8"/>
  <c r="AX43" i="6" l="1"/>
  <c r="AV44" i="6" l="1"/>
  <c r="AV45" i="6"/>
  <c r="AV49" i="6"/>
  <c r="AV51" i="6"/>
  <c r="AV53" i="6"/>
  <c r="AP11" i="6"/>
  <c r="AS19" i="6"/>
  <c r="AS24" i="6"/>
  <c r="AV62" i="6" l="1"/>
  <c r="AS11" i="6"/>
  <c r="AP6" i="6"/>
  <c r="AS6" i="6" s="1"/>
  <c r="Z44" i="6" l="1"/>
  <c r="Z45" i="6"/>
  <c r="AA45" i="6" s="1"/>
  <c r="Z49" i="6"/>
  <c r="AA49" i="6" s="1"/>
  <c r="Z51" i="6"/>
  <c r="AA51" i="6" s="1"/>
  <c r="Z53" i="6"/>
  <c r="AA53" i="6" s="1"/>
  <c r="Z62" i="6" l="1"/>
  <c r="AA44" i="6"/>
  <c r="AA62" i="6" s="1"/>
  <c r="AB44" i="6" l="1"/>
  <c r="I44" i="6"/>
  <c r="J44" i="6" l="1"/>
  <c r="AD44" i="6"/>
  <c r="I45" i="6"/>
  <c r="I62" i="6" s="1"/>
  <c r="I49" i="6"/>
  <c r="I51" i="6"/>
  <c r="I53" i="6"/>
  <c r="AB45" i="6"/>
  <c r="AB62" i="6" s="1"/>
  <c r="AB49" i="6"/>
  <c r="AB51" i="6"/>
  <c r="AB53" i="6"/>
  <c r="L44" i="6" l="1"/>
  <c r="K44" i="6"/>
  <c r="J51" i="6"/>
  <c r="L51" i="6" s="1"/>
  <c r="W51" i="6" s="1"/>
  <c r="J53" i="6"/>
  <c r="L53" i="6" s="1"/>
  <c r="W53" i="6" s="1"/>
  <c r="J45" i="6"/>
  <c r="K45" i="6" s="1"/>
  <c r="AD53" i="6"/>
  <c r="T44" i="6"/>
  <c r="U44" i="6"/>
  <c r="J49" i="6"/>
  <c r="K49" i="6" s="1"/>
  <c r="AD51" i="6"/>
  <c r="AD49" i="6"/>
  <c r="AD45" i="6"/>
  <c r="AD62" i="6" s="1"/>
  <c r="AT45" i="6"/>
  <c r="AT49" i="6"/>
  <c r="AT51" i="6"/>
  <c r="AT53" i="6"/>
  <c r="AT62" i="6" l="1"/>
  <c r="AF44" i="6"/>
  <c r="J62" i="6"/>
  <c r="V44" i="6"/>
  <c r="AC44" i="6"/>
  <c r="S44" i="6"/>
  <c r="W44" i="6"/>
  <c r="X44" i="6"/>
  <c r="K53" i="6"/>
  <c r="K51" i="6"/>
  <c r="K62" i="6" s="1"/>
  <c r="L45" i="6"/>
  <c r="W45" i="6" s="1"/>
  <c r="L49" i="6"/>
  <c r="AC51" i="6"/>
  <c r="AC53" i="6"/>
  <c r="AF51" i="6"/>
  <c r="U51" i="6"/>
  <c r="V51" i="6"/>
  <c r="T51" i="6"/>
  <c r="S51" i="6"/>
  <c r="AF53" i="6"/>
  <c r="U53" i="6"/>
  <c r="V53" i="6"/>
  <c r="T53" i="6"/>
  <c r="S53" i="6"/>
  <c r="L62" i="6" l="1"/>
  <c r="X53" i="6"/>
  <c r="U49" i="6"/>
  <c r="W49" i="6"/>
  <c r="W62" i="6" s="1"/>
  <c r="X51" i="6"/>
  <c r="V45" i="6"/>
  <c r="V62" i="6" s="1"/>
  <c r="T49" i="6"/>
  <c r="S45" i="6"/>
  <c r="S62" i="6" s="1"/>
  <c r="AC45" i="6"/>
  <c r="AC62" i="6" s="1"/>
  <c r="AF45" i="6"/>
  <c r="AF62" i="6" s="1"/>
  <c r="AC49" i="6"/>
  <c r="S49" i="6"/>
  <c r="V49" i="6"/>
  <c r="AF49" i="6"/>
  <c r="U45" i="6"/>
  <c r="U62" i="6" s="1"/>
  <c r="T45" i="6"/>
  <c r="T62" i="6" s="1"/>
  <c r="Y44" i="6"/>
  <c r="AX44" i="6" l="1"/>
  <c r="X49" i="6"/>
  <c r="X45" i="6"/>
  <c r="X62" i="6" s="1"/>
  <c r="AA26" i="8" l="1"/>
  <c r="S26" i="8"/>
  <c r="Y26" i="8"/>
  <c r="J26" i="8"/>
  <c r="W26" i="8"/>
  <c r="AC26" i="8"/>
  <c r="U26" i="8"/>
  <c r="L26" i="8" l="1"/>
  <c r="N26" i="8" l="1"/>
  <c r="Q26" i="8"/>
  <c r="O26" i="8"/>
  <c r="AE26" i="8" l="1"/>
  <c r="AF26" i="8" l="1"/>
  <c r="AG26" i="8" l="1"/>
  <c r="AK45" i="6" l="1"/>
  <c r="AK49" i="6"/>
  <c r="AK51" i="6"/>
  <c r="AK53" i="6"/>
  <c r="AJ45" i="6"/>
  <c r="AJ49" i="6"/>
  <c r="AJ51" i="6"/>
  <c r="AJ53" i="6"/>
  <c r="AJ62" i="6" l="1"/>
  <c r="AK62" i="6"/>
  <c r="AS16" i="6"/>
  <c r="AS32" i="6" l="1"/>
  <c r="AN45" i="6"/>
  <c r="AO45" i="6"/>
  <c r="AN49" i="6"/>
  <c r="AO49" i="6"/>
  <c r="AN51" i="6"/>
  <c r="AO51" i="6"/>
  <c r="AN53" i="6"/>
  <c r="AO53" i="6"/>
  <c r="AR53" i="6"/>
  <c r="AR45" i="6"/>
  <c r="AR49" i="6"/>
  <c r="AR51" i="6"/>
  <c r="AR62" i="6" l="1"/>
  <c r="AN62" i="6"/>
  <c r="AO62" i="6"/>
  <c r="AS4" i="6"/>
  <c r="AS3" i="6"/>
  <c r="Y51" i="6" l="1"/>
  <c r="AX51" i="6" s="1"/>
  <c r="Y49" i="6"/>
  <c r="AX49" i="6" s="1"/>
  <c r="Y53" i="6"/>
  <c r="AX53" i="6" s="1"/>
  <c r="Y45" i="6"/>
  <c r="Y62" i="6" s="1"/>
  <c r="AX45" i="6" l="1"/>
  <c r="AX62" i="6" s="1"/>
</calcChain>
</file>

<file path=xl/sharedStrings.xml><?xml version="1.0" encoding="utf-8"?>
<sst xmlns="http://schemas.openxmlformats.org/spreadsheetml/2006/main" count="303" uniqueCount="203">
  <si>
    <t>1-4</t>
  </si>
  <si>
    <t>5-9</t>
  </si>
  <si>
    <t>10-11</t>
  </si>
  <si>
    <t>№  п/п</t>
  </si>
  <si>
    <t>Ф.И.О</t>
  </si>
  <si>
    <t>Категория</t>
  </si>
  <si>
    <t>Коэффициент</t>
  </si>
  <si>
    <t>Дополнительная оплата</t>
  </si>
  <si>
    <t>ИТОГО:</t>
  </si>
  <si>
    <t>Должностной оклад (17697* коэф)</t>
  </si>
  <si>
    <t>высшее</t>
  </si>
  <si>
    <t>1-4 классы</t>
  </si>
  <si>
    <t>5-9 классы</t>
  </si>
  <si>
    <t>Прочие надбавки</t>
  </si>
  <si>
    <t>Педагогический стаж</t>
  </si>
  <si>
    <t>Всего заработная плата в месяц</t>
  </si>
  <si>
    <t>Занимаемая должность преподаваемого  предмета</t>
  </si>
  <si>
    <t xml:space="preserve">Образование </t>
  </si>
  <si>
    <t>заведующий мастерской</t>
  </si>
  <si>
    <t>без категории</t>
  </si>
  <si>
    <t>категория</t>
  </si>
  <si>
    <t>В2-2</t>
  </si>
  <si>
    <t>В2-3</t>
  </si>
  <si>
    <t>В2-4</t>
  </si>
  <si>
    <t>НВП</t>
  </si>
  <si>
    <t xml:space="preserve">Заработная плата </t>
  </si>
  <si>
    <t>Доплаты за ОСО</t>
  </si>
  <si>
    <t>Доплаты за квалтест</t>
  </si>
  <si>
    <t>Доплаты полиязычие</t>
  </si>
  <si>
    <t>количество часов ОСО</t>
  </si>
  <si>
    <t>сумма доплаты ОСО</t>
  </si>
  <si>
    <t>%</t>
  </si>
  <si>
    <t>сумма доплаты квалтест</t>
  </si>
  <si>
    <t>Доплаты за обучение на дому</t>
  </si>
  <si>
    <t>количество часов инклюзив</t>
  </si>
  <si>
    <t>сумма доплаты инклюзив</t>
  </si>
  <si>
    <t>25% сельские</t>
  </si>
  <si>
    <t xml:space="preserve">Общее количество часов </t>
  </si>
  <si>
    <t>классное  руководство          50%               60%</t>
  </si>
  <si>
    <t>за степень магистра</t>
  </si>
  <si>
    <t xml:space="preserve">Главный экономист                                              </t>
  </si>
  <si>
    <t>№ п/п</t>
  </si>
  <si>
    <t>Показатели на начало учебного года</t>
  </si>
  <si>
    <t>ВСЕГО</t>
  </si>
  <si>
    <t>Общее число препод. работы в неделю по тарификации в т.ч.</t>
  </si>
  <si>
    <t>оплачено из бюджета</t>
  </si>
  <si>
    <t>а)</t>
  </si>
  <si>
    <t>число часов по уч. плану</t>
  </si>
  <si>
    <t>б)</t>
  </si>
  <si>
    <t>число дополнительных часов</t>
  </si>
  <si>
    <t>казахский  язык</t>
  </si>
  <si>
    <t>казахская  литература</t>
  </si>
  <si>
    <t xml:space="preserve">Т А Р И Ф И К А Ц И О Н Н Ы Й     С П И С О К </t>
  </si>
  <si>
    <t>хореография</t>
  </si>
  <si>
    <t>учителей и других работников</t>
  </si>
  <si>
    <t>инфоматика</t>
  </si>
  <si>
    <t>иностранный  язык</t>
  </si>
  <si>
    <t>русский яз и литература</t>
  </si>
  <si>
    <t>физическая культура</t>
  </si>
  <si>
    <t>основы экономических  знаний</t>
  </si>
  <si>
    <t>профиль</t>
  </si>
  <si>
    <t>прикл.курсы</t>
  </si>
  <si>
    <t>кол-во класс комплектов:</t>
  </si>
  <si>
    <t xml:space="preserve">обучение  на  дому  </t>
  </si>
  <si>
    <t>кол-во детей:</t>
  </si>
  <si>
    <t>основы  малого  бизнеса</t>
  </si>
  <si>
    <t>прочие, кружки</t>
  </si>
  <si>
    <t>спорт</t>
  </si>
  <si>
    <t>туризм</t>
  </si>
  <si>
    <t>физика</t>
  </si>
  <si>
    <t>количество часов</t>
  </si>
  <si>
    <t>Общее количество часов языки</t>
  </si>
  <si>
    <t>классное  руководство 5-11</t>
  </si>
  <si>
    <t>классное  руководство 1-4</t>
  </si>
  <si>
    <t>высш</t>
  </si>
  <si>
    <t xml:space="preserve">математика  </t>
  </si>
  <si>
    <t>каз язык лит</t>
  </si>
  <si>
    <t>Карымсакова Гульмира Маговиевна</t>
  </si>
  <si>
    <t xml:space="preserve">анг </t>
  </si>
  <si>
    <t>выс ш</t>
  </si>
  <si>
    <t>Төрехан Мадина Бауыржанқызы</t>
  </si>
  <si>
    <t>выс</t>
  </si>
  <si>
    <t>педагог-модератор</t>
  </si>
  <si>
    <t>Акылбаев Б.</t>
  </si>
  <si>
    <t>п-эксперт</t>
  </si>
  <si>
    <t>п-иследователь</t>
  </si>
  <si>
    <t xml:space="preserve"> п-эксперт</t>
  </si>
  <si>
    <t>обуч на дому 1-4</t>
  </si>
  <si>
    <t>обуч на дому 5-9</t>
  </si>
  <si>
    <t>Обуч на дому 1-4</t>
  </si>
  <si>
    <t>Обуч на дому 5-9</t>
  </si>
  <si>
    <t>Жиынтығы:</t>
  </si>
  <si>
    <t>D</t>
  </si>
  <si>
    <t>жоғарғы</t>
  </si>
  <si>
    <t>іс жүргізуші</t>
  </si>
  <si>
    <t>А1-3-1</t>
  </si>
  <si>
    <t>зам по ВР</t>
  </si>
  <si>
    <t>зам по УВР</t>
  </si>
  <si>
    <t>Сомасы</t>
  </si>
  <si>
    <t>төлеуге жататын сағат саны</t>
  </si>
  <si>
    <t>кун саны</t>
  </si>
  <si>
    <t>сомасы</t>
  </si>
  <si>
    <t>бірлік</t>
  </si>
  <si>
    <t>пайыз</t>
  </si>
  <si>
    <t>Қосымша төлемдердің жиынтық сомасы</t>
  </si>
  <si>
    <t>Ерекше еңбек жағдайлары үшін үстемеақы 10%</t>
  </si>
  <si>
    <t>түнгі жұмыс үшін</t>
  </si>
  <si>
    <t>Мереке кундері үшін</t>
  </si>
  <si>
    <t>Сыныптық біліктілігі үшін</t>
  </si>
  <si>
    <t>20%хлор</t>
  </si>
  <si>
    <t>Оқулықтардың кiтапханалық қорымен жұмыс істегенi үшін</t>
  </si>
  <si>
    <t>квалтес</t>
  </si>
  <si>
    <t>санаты бойынша</t>
  </si>
  <si>
    <t>Кәсіптік, біліктілік санаты, разряды</t>
  </si>
  <si>
    <t>Айлық еңбек ақы, барлығы</t>
  </si>
  <si>
    <t>ҚОСЫМША АҚЫЛАР МЕН ҮСТЕМЕАҚЫЛАР</t>
  </si>
  <si>
    <t>25% қоса есептелгендегі еңбек ақы жиынтығы</t>
  </si>
  <si>
    <t>Ауылдық жердегі жұмысы үшін арттыру</t>
  </si>
  <si>
    <t>Қызметтік айлықақы</t>
  </si>
  <si>
    <t>штаттық бірлік</t>
  </si>
  <si>
    <t>жалақы есептеу коэффициенті</t>
  </si>
  <si>
    <t>мамандығы бойынша еңбек өтілі</t>
  </si>
  <si>
    <t>санаты</t>
  </si>
  <si>
    <t>білімі</t>
  </si>
  <si>
    <t>Лауазым атауы</t>
  </si>
  <si>
    <t>Тегі, аты, әкесінің аты</t>
  </si>
  <si>
    <t xml:space="preserve">№№ </t>
  </si>
  <si>
    <t>БЛЖ</t>
  </si>
  <si>
    <t xml:space="preserve">                                                    КГУ "Оснавная средняя школа села Жалтырколь отдела образования по Аршалынскому району управления образования Акмолинской области" </t>
  </si>
  <si>
    <t xml:space="preserve">       Штатное расписание</t>
  </si>
  <si>
    <t xml:space="preserve">____________ </t>
  </si>
  <si>
    <t>Директор</t>
  </si>
  <si>
    <t xml:space="preserve"> </t>
  </si>
  <si>
    <t xml:space="preserve">с мес.ФЗП </t>
  </si>
  <si>
    <t xml:space="preserve">штат в кол-ве   </t>
  </si>
  <si>
    <t>Утверждаю</t>
  </si>
  <si>
    <t xml:space="preserve">  "СОГЛАСОВАНО"</t>
  </si>
  <si>
    <t>Новый Должностной оклад 75%</t>
  </si>
  <si>
    <t>Физкультура</t>
  </si>
  <si>
    <t>худ.труд</t>
  </si>
  <si>
    <t>Сапарбаева Калдыкул Саденовна</t>
  </si>
  <si>
    <t>вакансия</t>
  </si>
  <si>
    <t>45-100% көтерме ақы</t>
  </si>
  <si>
    <t>100 % увеличения ДО</t>
  </si>
  <si>
    <t>педагог</t>
  </si>
  <si>
    <t>Кенжегалиева Акшархат Адильхановна</t>
  </si>
  <si>
    <t>1 а класс</t>
  </si>
  <si>
    <t>наставничество</t>
  </si>
  <si>
    <t xml:space="preserve"> Руководитель ГУ «Отдел образования по Аршалынскому району управления образования Акмолинской области»</t>
  </si>
  <si>
    <t>Ж.Кайрмденов</t>
  </si>
  <si>
    <t>секретарь</t>
  </si>
  <si>
    <t>до года</t>
  </si>
  <si>
    <t>С-3</t>
  </si>
  <si>
    <t>10-11 классы</t>
  </si>
  <si>
    <t>1-11 классы</t>
  </si>
  <si>
    <t>кол-во кл.компл:  21</t>
  </si>
  <si>
    <t xml:space="preserve">военрук </t>
  </si>
  <si>
    <t xml:space="preserve">библиотекарь </t>
  </si>
  <si>
    <t xml:space="preserve">Мектеп директоры:  </t>
  </si>
  <si>
    <t>Гл.     Экономист</t>
  </si>
  <si>
    <t xml:space="preserve">          Акылбаев Б</t>
  </si>
  <si>
    <t>Отдель кадр</t>
  </si>
  <si>
    <t>Бухгалтер</t>
  </si>
  <si>
    <t xml:space="preserve">          Альмагамбетова М.С.</t>
  </si>
  <si>
    <t>Методист:</t>
  </si>
  <si>
    <t>Маханов Р.Ж.</t>
  </si>
  <si>
    <t xml:space="preserve"> Жанабергенова А.К.</t>
  </si>
  <si>
    <t xml:space="preserve">                         Жанабергенова А.К.</t>
  </si>
  <si>
    <t>Адрес школы: Акмолинская область,Аршалынский район, а.Жалтырколь, ул.А.Бокейханова 5</t>
  </si>
  <si>
    <t>Р.Газиз</t>
  </si>
  <si>
    <t>ИО директора</t>
  </si>
  <si>
    <t>Число классов на 1 сентября</t>
  </si>
  <si>
    <t>Число кл-комлектов на 1 сентября</t>
  </si>
  <si>
    <t>Число учащихся на 1 сентября</t>
  </si>
  <si>
    <t>кружки</t>
  </si>
  <si>
    <t>2 а класс</t>
  </si>
  <si>
    <t>Мылтықбай Асылзат Ғалымжанқызы</t>
  </si>
  <si>
    <t>5,0/8</t>
  </si>
  <si>
    <t>Абдуалиева Лайла Койшыбековна</t>
  </si>
  <si>
    <t>Бекжанов Нурбол Капанович</t>
  </si>
  <si>
    <t>выш</t>
  </si>
  <si>
    <t>физ-ра, НВТП</t>
  </si>
  <si>
    <t>Абил Есбол</t>
  </si>
  <si>
    <t>Байеділ Диана Женісқызы</t>
  </si>
  <si>
    <t>НА 01.10.2024-2025 УЧЕБНЫЙ ГОД (доп)</t>
  </si>
  <si>
    <t>"    01" 10.  2024г</t>
  </si>
  <si>
    <t>"   01 "__10.2024 год</t>
  </si>
  <si>
    <t>Карымсакова Гульмира Магавиевна</t>
  </si>
  <si>
    <t>Оңғар Гаухар</t>
  </si>
  <si>
    <t>01.10.2024 (доп)</t>
  </si>
  <si>
    <t>"  01" _10. 2024г</t>
  </si>
  <si>
    <t>" 01"_10.2024 год</t>
  </si>
  <si>
    <t>Сапарбай Акмарал Абиқызы</t>
  </si>
  <si>
    <t>Мухамедшарипов Казбек Серикович</t>
  </si>
  <si>
    <t>п-модератор</t>
  </si>
  <si>
    <t>Накупов Абай Сайлаубекович</t>
  </si>
  <si>
    <t>история</t>
  </si>
  <si>
    <t>Ниязова Майра Сапаралиевна</t>
  </si>
  <si>
    <t>педагог модератов</t>
  </si>
  <si>
    <t>Ахай Саягуль</t>
  </si>
  <si>
    <t xml:space="preserve">информатика </t>
  </si>
  <si>
    <t>педагог модератор</t>
  </si>
  <si>
    <t xml:space="preserve">     рус.яз лит-ра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</si>
</sst>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0.0"/>
    <numFmt numFmtId="166" formatCode="_-* #,##0_р_._-;\-* #,##0_р_._-;_-* &quot;-&quot;??_р_._-;_-@_-"/>
    <numFmt numFmtId="167" formatCode="#,##0.0_ ;\-#,##0.0\ "/>
  </numFmts>
  <fonts count="51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28"/>
      <name val="Arial Cyr"/>
      <family val="2"/>
      <charset val="204"/>
    </font>
    <font>
      <sz val="2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22.5"/>
      <name val="Times New Roman"/>
      <family val="1"/>
      <charset val="204"/>
    </font>
    <font>
      <b/>
      <sz val="22.5"/>
      <name val="Times New Roman"/>
      <family val="1"/>
      <charset val="204"/>
    </font>
    <font>
      <sz val="22.5"/>
      <color indexed="22"/>
      <name val="Times New Roman"/>
      <family val="1"/>
      <charset val="204"/>
    </font>
    <font>
      <sz val="22.5"/>
      <name val="Arial Cyr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24"/>
      <name val="Arial Cyr"/>
      <charset val="204"/>
    </font>
    <font>
      <sz val="9"/>
      <name val="Arial Cyr"/>
      <family val="2"/>
      <charset val="204"/>
    </font>
    <font>
      <sz val="22"/>
      <name val="Times New Roman"/>
      <family val="1"/>
      <charset val="204"/>
    </font>
    <font>
      <sz val="12"/>
      <name val="Arial Cyr"/>
      <family val="2"/>
      <charset val="204"/>
    </font>
    <font>
      <sz val="12"/>
      <color theme="1" tint="4.9989318521683403E-2"/>
      <name val="Arial Cyr"/>
      <charset val="204"/>
    </font>
    <font>
      <sz val="12"/>
      <color indexed="8"/>
      <name val="Arial Cyr"/>
      <charset val="204"/>
    </font>
    <font>
      <b/>
      <sz val="20"/>
      <name val="Times New Roman"/>
      <family val="1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name val="Arial Cyr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9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9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0" fontId="1" fillId="0" borderId="0"/>
    <xf numFmtId="0" fontId="1" fillId="0" borderId="0"/>
    <xf numFmtId="0" fontId="45" fillId="0" borderId="0"/>
    <xf numFmtId="164" fontId="1" fillId="0" borderId="0" applyFill="0" applyBorder="0" applyAlignment="0" applyProtection="0"/>
  </cellStyleXfs>
  <cellXfs count="323">
    <xf numFmtId="0" fontId="0" fillId="0" borderId="0" xfId="0"/>
    <xf numFmtId="0" fontId="18" fillId="0" borderId="0" xfId="0" applyFont="1"/>
    <xf numFmtId="1" fontId="18" fillId="0" borderId="0" xfId="0" applyNumberFormat="1" applyFont="1"/>
    <xf numFmtId="0" fontId="21" fillId="0" borderId="0" xfId="0" applyFont="1"/>
    <xf numFmtId="0" fontId="22" fillId="0" borderId="0" xfId="0" applyFont="1"/>
    <xf numFmtId="1" fontId="22" fillId="0" borderId="0" xfId="0" applyNumberFormat="1" applyFont="1"/>
    <xf numFmtId="0" fontId="23" fillId="0" borderId="0" xfId="0" applyFont="1"/>
    <xf numFmtId="1" fontId="23" fillId="0" borderId="0" xfId="0" applyNumberFormat="1" applyFont="1"/>
    <xf numFmtId="0" fontId="24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1" fontId="23" fillId="0" borderId="0" xfId="0" applyNumberFormat="1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5" fillId="0" borderId="0" xfId="0" applyFont="1"/>
    <xf numFmtId="0" fontId="23" fillId="0" borderId="1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15" borderId="0" xfId="0" applyFont="1" applyFill="1" applyAlignment="1">
      <alignment vertical="center"/>
    </xf>
    <xf numFmtId="10" fontId="25" fillId="0" borderId="0" xfId="0" applyNumberFormat="1" applyFont="1"/>
    <xf numFmtId="0" fontId="18" fillId="16" borderId="0" xfId="0" applyFont="1" applyFill="1"/>
    <xf numFmtId="0" fontId="23" fillId="16" borderId="0" xfId="0" applyFont="1" applyFill="1"/>
    <xf numFmtId="0" fontId="23" fillId="16" borderId="0" xfId="0" applyFont="1" applyFill="1" applyAlignment="1">
      <alignment horizontal="left"/>
    </xf>
    <xf numFmtId="0" fontId="22" fillId="16" borderId="0" xfId="0" applyFont="1" applyFill="1"/>
    <xf numFmtId="0" fontId="21" fillId="16" borderId="0" xfId="0" applyFont="1" applyFill="1" applyAlignment="1">
      <alignment vertical="center"/>
    </xf>
    <xf numFmtId="0" fontId="27" fillId="0" borderId="10" xfId="0" applyFont="1" applyBorder="1" applyAlignment="1">
      <alignment horizontal="center" vertical="center" textRotation="90"/>
    </xf>
    <xf numFmtId="0" fontId="28" fillId="0" borderId="10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16" borderId="10" xfId="0" applyFont="1" applyFill="1" applyBorder="1" applyAlignment="1">
      <alignment vertical="center" wrapText="1"/>
    </xf>
    <xf numFmtId="0" fontId="28" fillId="15" borderId="10" xfId="0" applyFont="1" applyFill="1" applyBorder="1" applyAlignment="1">
      <alignment horizontal="right" vertical="center"/>
    </xf>
    <xf numFmtId="0" fontId="28" fillId="16" borderId="10" xfId="0" applyFont="1" applyFill="1" applyBorder="1" applyAlignment="1">
      <alignment horizontal="right" vertical="center"/>
    </xf>
    <xf numFmtId="0" fontId="28" fillId="0" borderId="10" xfId="0" applyFont="1" applyBorder="1" applyAlignment="1">
      <alignment horizontal="right" vertical="center"/>
    </xf>
    <xf numFmtId="0" fontId="28" fillId="15" borderId="10" xfId="0" applyFont="1" applyFill="1" applyBorder="1" applyAlignment="1">
      <alignment vertical="center"/>
    </xf>
    <xf numFmtId="0" fontId="28" fillId="16" borderId="10" xfId="0" applyFont="1" applyFill="1" applyBorder="1" applyAlignment="1">
      <alignment vertical="center"/>
    </xf>
    <xf numFmtId="166" fontId="28" fillId="0" borderId="10" xfId="23" applyNumberFormat="1" applyFont="1" applyFill="1" applyBorder="1" applyAlignment="1">
      <alignment vertical="center"/>
    </xf>
    <xf numFmtId="166" fontId="28" fillId="0" borderId="10" xfId="23" applyNumberFormat="1" applyFont="1" applyFill="1" applyBorder="1" applyAlignment="1">
      <alignment horizontal="center" vertical="center"/>
    </xf>
    <xf numFmtId="1" fontId="28" fillId="0" borderId="10" xfId="0" applyNumberFormat="1" applyFont="1" applyBorder="1" applyAlignment="1">
      <alignment vertical="center"/>
    </xf>
    <xf numFmtId="166" fontId="27" fillId="0" borderId="10" xfId="23" applyNumberFormat="1" applyFont="1" applyFill="1" applyBorder="1" applyAlignment="1">
      <alignment vertical="center"/>
    </xf>
    <xf numFmtId="49" fontId="28" fillId="0" borderId="10" xfId="0" applyNumberFormat="1" applyFont="1" applyBorder="1" applyAlignment="1">
      <alignment horizontal="right" vertical="center"/>
    </xf>
    <xf numFmtId="166" fontId="28" fillId="16" borderId="10" xfId="23" applyNumberFormat="1" applyFont="1" applyFill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5" fillId="16" borderId="10" xfId="0" applyFont="1" applyFill="1" applyBorder="1" applyAlignment="1">
      <alignment horizontal="center" vertical="center" wrapText="1"/>
    </xf>
    <xf numFmtId="166" fontId="28" fillId="15" borderId="10" xfId="23" applyNumberFormat="1" applyFont="1" applyFill="1" applyBorder="1" applyAlignment="1">
      <alignment vertical="center" wrapText="1"/>
    </xf>
    <xf numFmtId="166" fontId="28" fillId="16" borderId="10" xfId="23" applyNumberFormat="1" applyFont="1" applyFill="1" applyBorder="1" applyAlignment="1">
      <alignment vertical="center" wrapText="1"/>
    </xf>
    <xf numFmtId="0" fontId="25" fillId="17" borderId="10" xfId="0" applyFont="1" applyFill="1" applyBorder="1" applyAlignment="1">
      <alignment horizontal="center" vertical="center" wrapText="1"/>
    </xf>
    <xf numFmtId="9" fontId="25" fillId="17" borderId="11" xfId="0" applyNumberFormat="1" applyFont="1" applyFill="1" applyBorder="1" applyAlignment="1">
      <alignment horizontal="center" vertical="center" textRotation="90" wrapText="1"/>
    </xf>
    <xf numFmtId="0" fontId="27" fillId="16" borderId="10" xfId="0" applyFont="1" applyFill="1" applyBorder="1" applyAlignment="1">
      <alignment horizontal="center" vertical="center" textRotation="90"/>
    </xf>
    <xf numFmtId="0" fontId="27" fillId="17" borderId="10" xfId="0" applyFont="1" applyFill="1" applyBorder="1" applyAlignment="1">
      <alignment horizontal="center" vertical="center" wrapText="1"/>
    </xf>
    <xf numFmtId="166" fontId="28" fillId="0" borderId="10" xfId="23" applyNumberFormat="1" applyFont="1" applyFill="1" applyBorder="1" applyAlignment="1">
      <alignment vertical="center" wrapText="1"/>
    </xf>
    <xf numFmtId="9" fontId="25" fillId="16" borderId="11" xfId="0" applyNumberFormat="1" applyFont="1" applyFill="1" applyBorder="1" applyAlignment="1">
      <alignment horizontal="center" vertical="center" textRotation="90"/>
    </xf>
    <xf numFmtId="9" fontId="27" fillId="17" borderId="10" xfId="0" applyNumberFormat="1" applyFont="1" applyFill="1" applyBorder="1" applyAlignment="1">
      <alignment horizontal="center" vertical="center" textRotation="90"/>
    </xf>
    <xf numFmtId="166" fontId="25" fillId="0" borderId="0" xfId="0" applyNumberFormat="1" applyFont="1"/>
    <xf numFmtId="0" fontId="29" fillId="0" borderId="0" xfId="0" applyFont="1" applyProtection="1">
      <protection locked="0"/>
    </xf>
    <xf numFmtId="1" fontId="30" fillId="0" borderId="0" xfId="0" applyNumberFormat="1" applyFont="1" applyAlignment="1" applyProtection="1">
      <alignment horizontal="center"/>
      <protection locked="0"/>
    </xf>
    <xf numFmtId="0" fontId="31" fillId="0" borderId="0" xfId="0" applyFont="1"/>
    <xf numFmtId="0" fontId="32" fillId="0" borderId="0" xfId="0" applyFont="1" applyProtection="1">
      <protection locked="0"/>
    </xf>
    <xf numFmtId="1" fontId="32" fillId="0" borderId="0" xfId="0" applyNumberFormat="1" applyFont="1" applyProtection="1">
      <protection locked="0"/>
    </xf>
    <xf numFmtId="0" fontId="29" fillId="19" borderId="0" xfId="0" applyFont="1" applyFill="1" applyProtection="1">
      <protection locked="0"/>
    </xf>
    <xf numFmtId="0" fontId="29" fillId="20" borderId="0" xfId="0" applyFont="1" applyFill="1" applyProtection="1">
      <protection locked="0"/>
    </xf>
    <xf numFmtId="0" fontId="29" fillId="21" borderId="0" xfId="0" applyFont="1" applyFill="1" applyProtection="1">
      <protection locked="0"/>
    </xf>
    <xf numFmtId="1" fontId="29" fillId="21" borderId="0" xfId="0" applyNumberFormat="1" applyFont="1" applyFill="1" applyProtection="1">
      <protection locked="0"/>
    </xf>
    <xf numFmtId="1" fontId="29" fillId="0" borderId="0" xfId="0" applyNumberFormat="1" applyFont="1" applyProtection="1">
      <protection locked="0"/>
    </xf>
    <xf numFmtId="1" fontId="29" fillId="20" borderId="0" xfId="0" applyNumberFormat="1" applyFont="1" applyFill="1" applyProtection="1">
      <protection locked="0"/>
    </xf>
    <xf numFmtId="1" fontId="34" fillId="16" borderId="0" xfId="0" applyNumberFormat="1" applyFont="1" applyFill="1" applyProtection="1">
      <protection locked="0"/>
    </xf>
    <xf numFmtId="1" fontId="30" fillId="16" borderId="16" xfId="0" applyNumberFormat="1" applyFont="1" applyFill="1" applyBorder="1" applyProtection="1">
      <protection locked="0"/>
    </xf>
    <xf numFmtId="1" fontId="30" fillId="16" borderId="17" xfId="0" applyNumberFormat="1" applyFont="1" applyFill="1" applyBorder="1" applyProtection="1">
      <protection locked="0"/>
    </xf>
    <xf numFmtId="49" fontId="30" fillId="16" borderId="18" xfId="0" applyNumberFormat="1" applyFont="1" applyFill="1" applyBorder="1" applyAlignment="1" applyProtection="1">
      <alignment horizontal="center"/>
      <protection locked="0"/>
    </xf>
    <xf numFmtId="1" fontId="30" fillId="0" borderId="18" xfId="0" applyNumberFormat="1" applyFont="1" applyBorder="1" applyAlignment="1" applyProtection="1">
      <alignment horizontal="center"/>
      <protection locked="0"/>
    </xf>
    <xf numFmtId="49" fontId="30" fillId="0" borderId="18" xfId="0" applyNumberFormat="1" applyFont="1" applyBorder="1" applyAlignment="1" applyProtection="1">
      <alignment horizontal="center"/>
      <protection locked="0"/>
    </xf>
    <xf numFmtId="0" fontId="30" fillId="0" borderId="19" xfId="0" applyFont="1" applyBorder="1" applyAlignment="1" applyProtection="1">
      <alignment horizontal="center"/>
      <protection locked="0"/>
    </xf>
    <xf numFmtId="1" fontId="29" fillId="16" borderId="10" xfId="0" applyNumberFormat="1" applyFont="1" applyFill="1" applyBorder="1" applyAlignment="1" applyProtection="1">
      <alignment horizontal="center"/>
      <protection locked="0"/>
    </xf>
    <xf numFmtId="0" fontId="29" fillId="16" borderId="22" xfId="0" applyFont="1" applyFill="1" applyBorder="1" applyAlignment="1" applyProtection="1">
      <alignment horizontal="center"/>
      <protection locked="0"/>
    </xf>
    <xf numFmtId="1" fontId="29" fillId="0" borderId="22" xfId="0" applyNumberFormat="1" applyFont="1" applyBorder="1" applyAlignment="1" applyProtection="1">
      <alignment horizontal="center"/>
      <protection locked="0"/>
    </xf>
    <xf numFmtId="0" fontId="29" fillId="0" borderId="22" xfId="0" applyFont="1" applyBorder="1" applyAlignment="1" applyProtection="1">
      <alignment horizontal="center"/>
      <protection locked="0"/>
    </xf>
    <xf numFmtId="1" fontId="30" fillId="0" borderId="23" xfId="0" applyNumberFormat="1" applyFont="1" applyBorder="1" applyAlignment="1">
      <alignment horizontal="center"/>
    </xf>
    <xf numFmtId="0" fontId="29" fillId="16" borderId="25" xfId="0" applyFont="1" applyFill="1" applyBorder="1" applyAlignment="1" applyProtection="1">
      <alignment horizontal="center"/>
      <protection locked="0"/>
    </xf>
    <xf numFmtId="1" fontId="29" fillId="0" borderId="25" xfId="0" applyNumberFormat="1" applyFont="1" applyBorder="1" applyAlignment="1" applyProtection="1">
      <alignment horizontal="center"/>
      <protection locked="0"/>
    </xf>
    <xf numFmtId="0" fontId="29" fillId="0" borderId="25" xfId="0" applyFont="1" applyBorder="1" applyAlignment="1" applyProtection="1">
      <alignment horizontal="center"/>
      <protection locked="0"/>
    </xf>
    <xf numFmtId="0" fontId="30" fillId="0" borderId="26" xfId="0" applyFont="1" applyBorder="1" applyAlignment="1" applyProtection="1">
      <alignment horizontal="center"/>
      <protection locked="0"/>
    </xf>
    <xf numFmtId="0" fontId="29" fillId="16" borderId="27" xfId="0" applyFont="1" applyFill="1" applyBorder="1" applyAlignment="1" applyProtection="1">
      <alignment horizontal="center"/>
      <protection locked="0"/>
    </xf>
    <xf numFmtId="1" fontId="29" fillId="0" borderId="27" xfId="0" applyNumberFormat="1" applyFont="1" applyBorder="1" applyAlignment="1" applyProtection="1">
      <alignment horizontal="center"/>
      <protection locked="0"/>
    </xf>
    <xf numFmtId="0" fontId="29" fillId="0" borderId="27" xfId="0" applyFont="1" applyBorder="1" applyAlignment="1" applyProtection="1">
      <alignment horizontal="center"/>
      <protection locked="0"/>
    </xf>
    <xf numFmtId="1" fontId="30" fillId="0" borderId="26" xfId="0" applyNumberFormat="1" applyFont="1" applyBorder="1" applyAlignment="1">
      <alignment horizontal="center"/>
    </xf>
    <xf numFmtId="1" fontId="29" fillId="16" borderId="10" xfId="0" applyNumberFormat="1" applyFont="1" applyFill="1" applyBorder="1" applyProtection="1">
      <protection locked="0"/>
    </xf>
    <xf numFmtId="165" fontId="29" fillId="0" borderId="22" xfId="0" applyNumberFormat="1" applyFont="1" applyBorder="1" applyAlignment="1" applyProtection="1">
      <alignment horizontal="center"/>
      <protection locked="0"/>
    </xf>
    <xf numFmtId="165" fontId="30" fillId="0" borderId="26" xfId="0" applyNumberFormat="1" applyFont="1" applyBorder="1" applyAlignment="1">
      <alignment horizontal="center"/>
    </xf>
    <xf numFmtId="1" fontId="34" fillId="0" borderId="0" xfId="0" applyNumberFormat="1" applyFont="1" applyProtection="1">
      <protection locked="0"/>
    </xf>
    <xf numFmtId="165" fontId="30" fillId="0" borderId="26" xfId="0" applyNumberFormat="1" applyFont="1" applyBorder="1" applyAlignment="1" applyProtection="1">
      <alignment horizontal="center"/>
      <protection locked="0"/>
    </xf>
    <xf numFmtId="1" fontId="29" fillId="0" borderId="10" xfId="0" applyNumberFormat="1" applyFont="1" applyBorder="1" applyAlignment="1" applyProtection="1">
      <alignment horizontal="center"/>
      <protection locked="0"/>
    </xf>
    <xf numFmtId="1" fontId="29" fillId="0" borderId="10" xfId="0" applyNumberFormat="1" applyFont="1" applyBorder="1" applyProtection="1">
      <protection locked="0"/>
    </xf>
    <xf numFmtId="0" fontId="30" fillId="0" borderId="25" xfId="0" applyFont="1" applyBorder="1" applyAlignment="1" applyProtection="1">
      <alignment horizontal="center"/>
      <protection locked="0"/>
    </xf>
    <xf numFmtId="0" fontId="29" fillId="0" borderId="25" xfId="0" applyFont="1" applyBorder="1" applyProtection="1">
      <protection locked="0"/>
    </xf>
    <xf numFmtId="1" fontId="29" fillId="0" borderId="25" xfId="0" applyNumberFormat="1" applyFont="1" applyBorder="1" applyProtection="1">
      <protection locked="0"/>
    </xf>
    <xf numFmtId="165" fontId="29" fillId="0" borderId="26" xfId="0" applyNumberFormat="1" applyFont="1" applyBorder="1" applyProtection="1">
      <protection locked="0"/>
    </xf>
    <xf numFmtId="0" fontId="30" fillId="0" borderId="0" xfId="0" applyFont="1" applyProtection="1">
      <protection locked="0"/>
    </xf>
    <xf numFmtId="1" fontId="30" fillId="0" borderId="0" xfId="0" applyNumberFormat="1" applyFont="1" applyProtection="1">
      <protection locked="0"/>
    </xf>
    <xf numFmtId="0" fontId="30" fillId="0" borderId="0" xfId="0" applyFont="1" applyAlignment="1" applyProtection="1">
      <alignment horizontal="left" vertical="center"/>
      <protection locked="0"/>
    </xf>
    <xf numFmtId="1" fontId="29" fillId="0" borderId="21" xfId="0" applyNumberFormat="1" applyFont="1" applyBorder="1" applyAlignment="1" applyProtection="1">
      <alignment horizontal="center"/>
      <protection locked="0"/>
    </xf>
    <xf numFmtId="1" fontId="29" fillId="0" borderId="24" xfId="0" applyNumberFormat="1" applyFont="1" applyBorder="1" applyAlignment="1" applyProtection="1">
      <alignment horizontal="center"/>
      <protection locked="0"/>
    </xf>
    <xf numFmtId="0" fontId="29" fillId="0" borderId="24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0" fillId="0" borderId="0" xfId="0" applyFont="1" applyProtection="1">
      <protection locked="0"/>
    </xf>
    <xf numFmtId="1" fontId="37" fillId="0" borderId="24" xfId="0" applyNumberFormat="1" applyFont="1" applyBorder="1" applyAlignment="1" applyProtection="1">
      <alignment horizontal="center"/>
      <protection locked="0"/>
    </xf>
    <xf numFmtId="0" fontId="37" fillId="0" borderId="25" xfId="0" applyFont="1" applyBorder="1" applyProtection="1">
      <protection locked="0"/>
    </xf>
    <xf numFmtId="1" fontId="37" fillId="0" borderId="25" xfId="0" applyNumberFormat="1" applyFont="1" applyBorder="1" applyProtection="1">
      <protection locked="0"/>
    </xf>
    <xf numFmtId="1" fontId="29" fillId="0" borderId="30" xfId="0" applyNumberFormat="1" applyFont="1" applyBorder="1" applyAlignment="1" applyProtection="1">
      <alignment horizontal="center"/>
      <protection locked="0"/>
    </xf>
    <xf numFmtId="0" fontId="29" fillId="0" borderId="27" xfId="0" applyFont="1" applyBorder="1" applyProtection="1">
      <protection locked="0"/>
    </xf>
    <xf numFmtId="1" fontId="29" fillId="0" borderId="27" xfId="0" applyNumberFormat="1" applyFont="1" applyBorder="1" applyProtection="1">
      <protection locked="0"/>
    </xf>
    <xf numFmtId="0" fontId="40" fillId="16" borderId="10" xfId="0" applyFont="1" applyFill="1" applyBorder="1" applyAlignment="1">
      <alignment horizontal="right" vertical="center" wrapText="1"/>
    </xf>
    <xf numFmtId="0" fontId="25" fillId="17" borderId="11" xfId="0" applyFont="1" applyFill="1" applyBorder="1" applyAlignment="1">
      <alignment horizontal="center" vertical="center" wrapText="1"/>
    </xf>
    <xf numFmtId="0" fontId="27" fillId="16" borderId="10" xfId="0" applyFont="1" applyFill="1" applyBorder="1" applyAlignment="1">
      <alignment horizontal="center" vertical="center" textRotation="90" wrapText="1"/>
    </xf>
    <xf numFmtId="2" fontId="27" fillId="0" borderId="13" xfId="0" applyNumberFormat="1" applyFont="1" applyBorder="1" applyAlignment="1">
      <alignment vertical="center" wrapText="1"/>
    </xf>
    <xf numFmtId="2" fontId="27" fillId="0" borderId="15" xfId="0" applyNumberFormat="1" applyFont="1" applyBorder="1" applyAlignment="1">
      <alignment vertical="center" wrapText="1"/>
    </xf>
    <xf numFmtId="2" fontId="27" fillId="0" borderId="14" xfId="0" applyNumberFormat="1" applyFont="1" applyBorder="1" applyAlignment="1">
      <alignment vertical="center" wrapText="1"/>
    </xf>
    <xf numFmtId="9" fontId="25" fillId="17" borderId="32" xfId="0" applyNumberFormat="1" applyFont="1" applyFill="1" applyBorder="1" applyAlignment="1">
      <alignment horizontal="center" vertical="center" textRotation="90"/>
    </xf>
    <xf numFmtId="9" fontId="27" fillId="17" borderId="13" xfId="0" applyNumberFormat="1" applyFont="1" applyFill="1" applyBorder="1" applyAlignment="1">
      <alignment horizontal="center" vertical="center" textRotation="90"/>
    </xf>
    <xf numFmtId="0" fontId="39" fillId="15" borderId="10" xfId="0" applyFont="1" applyFill="1" applyBorder="1" applyAlignment="1">
      <alignment horizontal="center" wrapText="1"/>
    </xf>
    <xf numFmtId="0" fontId="28" fillId="0" borderId="10" xfId="0" applyFont="1" applyBorder="1" applyAlignment="1">
      <alignment wrapText="1"/>
    </xf>
    <xf numFmtId="0" fontId="28" fillId="15" borderId="10" xfId="0" applyFont="1" applyFill="1" applyBorder="1" applyAlignment="1">
      <alignment horizontal="left" vertical="center" wrapText="1"/>
    </xf>
    <xf numFmtId="0" fontId="28" fillId="16" borderId="10" xfId="0" applyFont="1" applyFill="1" applyBorder="1" applyAlignment="1">
      <alignment wrapText="1"/>
    </xf>
    <xf numFmtId="0" fontId="39" fillId="16" borderId="10" xfId="0" applyFont="1" applyFill="1" applyBorder="1" applyAlignment="1">
      <alignment horizontal="center" wrapText="1"/>
    </xf>
    <xf numFmtId="0" fontId="43" fillId="15" borderId="10" xfId="0" applyFont="1" applyFill="1" applyBorder="1" applyAlignment="1">
      <alignment horizontal="center" wrapText="1"/>
    </xf>
    <xf numFmtId="0" fontId="43" fillId="18" borderId="10" xfId="0" applyFont="1" applyFill="1" applyBorder="1" applyAlignment="1">
      <alignment horizontal="center" wrapText="1"/>
    </xf>
    <xf numFmtId="0" fontId="41" fillId="18" borderId="10" xfId="0" applyFont="1" applyFill="1" applyBorder="1" applyAlignment="1">
      <alignment horizontal="center" wrapText="1"/>
    </xf>
    <xf numFmtId="2" fontId="39" fillId="15" borderId="10" xfId="0" applyNumberFormat="1" applyFont="1" applyFill="1" applyBorder="1" applyAlignment="1">
      <alignment horizontal="center" wrapText="1"/>
    </xf>
    <xf numFmtId="0" fontId="39" fillId="16" borderId="10" xfId="25" applyFont="1" applyFill="1" applyBorder="1" applyAlignment="1">
      <alignment horizontal="center" wrapText="1"/>
    </xf>
    <xf numFmtId="0" fontId="44" fillId="16" borderId="10" xfId="0" applyFont="1" applyFill="1" applyBorder="1" applyAlignment="1">
      <alignment horizontal="center"/>
    </xf>
    <xf numFmtId="167" fontId="28" fillId="15" borderId="10" xfId="23" applyNumberFormat="1" applyFont="1" applyFill="1" applyBorder="1" applyAlignment="1">
      <alignment vertical="center" wrapText="1"/>
    </xf>
    <xf numFmtId="167" fontId="28" fillId="16" borderId="10" xfId="23" applyNumberFormat="1" applyFont="1" applyFill="1" applyBorder="1" applyAlignment="1">
      <alignment vertical="center" wrapText="1"/>
    </xf>
    <xf numFmtId="167" fontId="28" fillId="0" borderId="10" xfId="23" applyNumberFormat="1" applyFont="1" applyFill="1" applyBorder="1" applyAlignment="1">
      <alignment vertical="center" wrapText="1"/>
    </xf>
    <xf numFmtId="165" fontId="28" fillId="0" borderId="10" xfId="0" applyNumberFormat="1" applyFont="1" applyBorder="1" applyAlignment="1">
      <alignment vertical="center"/>
    </xf>
    <xf numFmtId="165" fontId="28" fillId="15" borderId="10" xfId="0" applyNumberFormat="1" applyFont="1" applyFill="1" applyBorder="1" applyAlignment="1">
      <alignment vertical="center"/>
    </xf>
    <xf numFmtId="165" fontId="28" fillId="16" borderId="10" xfId="0" applyNumberFormat="1" applyFont="1" applyFill="1" applyBorder="1" applyAlignment="1">
      <alignment vertical="center"/>
    </xf>
    <xf numFmtId="2" fontId="33" fillId="16" borderId="20" xfId="0" applyNumberFormat="1" applyFont="1" applyFill="1" applyBorder="1" applyProtection="1">
      <protection locked="0"/>
    </xf>
    <xf numFmtId="0" fontId="35" fillId="16" borderId="20" xfId="0" applyFont="1" applyFill="1" applyBorder="1" applyAlignment="1" applyProtection="1">
      <alignment wrapText="1"/>
      <protection locked="0"/>
    </xf>
    <xf numFmtId="0" fontId="42" fillId="16" borderId="20" xfId="0" applyFont="1" applyFill="1" applyBorder="1" applyAlignment="1" applyProtection="1">
      <alignment wrapText="1"/>
      <protection locked="0"/>
    </xf>
    <xf numFmtId="9" fontId="25" fillId="16" borderId="13" xfId="0" applyNumberFormat="1" applyFont="1" applyFill="1" applyBorder="1" applyAlignment="1">
      <alignment wrapText="1"/>
    </xf>
    <xf numFmtId="9" fontId="25" fillId="16" borderId="14" xfId="0" applyNumberFormat="1" applyFont="1" applyFill="1" applyBorder="1" applyAlignment="1">
      <alignment wrapText="1"/>
    </xf>
    <xf numFmtId="0" fontId="25" fillId="0" borderId="0" xfId="0" applyFont="1" applyProtection="1">
      <protection locked="0"/>
    </xf>
    <xf numFmtId="0" fontId="30" fillId="0" borderId="10" xfId="0" applyFont="1" applyBorder="1" applyProtection="1">
      <protection locked="0"/>
    </xf>
    <xf numFmtId="0" fontId="46" fillId="0" borderId="0" xfId="27" applyFont="1"/>
    <xf numFmtId="0" fontId="46" fillId="16" borderId="0" xfId="27" applyFont="1" applyFill="1"/>
    <xf numFmtId="0" fontId="28" fillId="0" borderId="0" xfId="27" applyFont="1" applyAlignment="1" applyProtection="1">
      <alignment wrapText="1"/>
      <protection locked="0"/>
    </xf>
    <xf numFmtId="0" fontId="28" fillId="16" borderId="0" xfId="27" applyFont="1" applyFill="1" applyAlignment="1" applyProtection="1">
      <alignment wrapText="1"/>
      <protection locked="0"/>
    </xf>
    <xf numFmtId="0" fontId="28" fillId="0" borderId="0" xfId="27" applyFont="1" applyProtection="1">
      <protection locked="0"/>
    </xf>
    <xf numFmtId="0" fontId="27" fillId="0" borderId="0" xfId="27" applyFont="1" applyProtection="1">
      <protection locked="0"/>
    </xf>
    <xf numFmtId="0" fontId="27" fillId="16" borderId="0" xfId="27" applyFont="1" applyFill="1" applyProtection="1">
      <protection locked="0"/>
    </xf>
    <xf numFmtId="2" fontId="28" fillId="0" borderId="0" xfId="27" applyNumberFormat="1" applyFont="1" applyProtection="1">
      <protection locked="0"/>
    </xf>
    <xf numFmtId="0" fontId="28" fillId="0" borderId="0" xfId="27" applyFont="1" applyAlignment="1">
      <alignment wrapText="1"/>
    </xf>
    <xf numFmtId="0" fontId="28" fillId="16" borderId="0" xfId="27" applyFont="1" applyFill="1" applyAlignment="1">
      <alignment wrapText="1"/>
    </xf>
    <xf numFmtId="2" fontId="28" fillId="0" borderId="10" xfId="27" applyNumberFormat="1" applyFont="1" applyBorder="1" applyAlignment="1">
      <alignment wrapText="1"/>
    </xf>
    <xf numFmtId="0" fontId="28" fillId="16" borderId="10" xfId="27" applyFont="1" applyFill="1" applyBorder="1"/>
    <xf numFmtId="0" fontId="27" fillId="16" borderId="10" xfId="27" applyFont="1" applyFill="1" applyBorder="1" applyAlignment="1">
      <alignment horizontal="left"/>
    </xf>
    <xf numFmtId="2" fontId="28" fillId="16" borderId="10" xfId="27" applyNumberFormat="1" applyFont="1" applyFill="1" applyBorder="1" applyAlignment="1">
      <alignment wrapText="1"/>
    </xf>
    <xf numFmtId="0" fontId="28" fillId="16" borderId="10" xfId="27" applyFont="1" applyFill="1" applyBorder="1" applyAlignment="1">
      <alignment wrapText="1"/>
    </xf>
    <xf numFmtId="0" fontId="47" fillId="16" borderId="10" xfId="27" applyFont="1" applyFill="1" applyBorder="1" applyAlignment="1">
      <alignment wrapText="1"/>
    </xf>
    <xf numFmtId="0" fontId="47" fillId="0" borderId="10" xfId="27" applyFont="1" applyBorder="1" applyAlignment="1">
      <alignment wrapText="1"/>
    </xf>
    <xf numFmtId="0" fontId="28" fillId="16" borderId="10" xfId="27" applyFont="1" applyFill="1" applyBorder="1" applyAlignment="1">
      <alignment horizontal="center" wrapText="1"/>
    </xf>
    <xf numFmtId="0" fontId="28" fillId="0" borderId="10" xfId="27" applyFont="1" applyBorder="1" applyAlignment="1">
      <alignment wrapText="1"/>
    </xf>
    <xf numFmtId="0" fontId="27" fillId="0" borderId="10" xfId="27" applyFont="1" applyBorder="1" applyAlignment="1">
      <alignment wrapText="1"/>
    </xf>
    <xf numFmtId="0" fontId="28" fillId="0" borderId="10" xfId="27" applyFont="1" applyBorder="1" applyAlignment="1">
      <alignment horizontal="center" vertical="center" wrapText="1"/>
    </xf>
    <xf numFmtId="0" fontId="48" fillId="0" borderId="0" xfId="27" applyFont="1"/>
    <xf numFmtId="0" fontId="27" fillId="0" borderId="10" xfId="27" applyFont="1" applyBorder="1" applyAlignment="1">
      <alignment horizontal="center" vertical="center" wrapText="1"/>
    </xf>
    <xf numFmtId="0" fontId="27" fillId="0" borderId="11" xfId="27" applyFont="1" applyBorder="1" applyAlignment="1">
      <alignment horizontal="center" vertical="center" wrapText="1"/>
    </xf>
    <xf numFmtId="0" fontId="27" fillId="0" borderId="10" xfId="27" applyFont="1" applyBorder="1" applyAlignment="1">
      <alignment vertical="center" wrapText="1"/>
    </xf>
    <xf numFmtId="9" fontId="27" fillId="0" borderId="10" xfId="27" applyNumberFormat="1" applyFont="1" applyBorder="1" applyAlignment="1">
      <alignment horizontal="center" vertical="center" wrapText="1"/>
    </xf>
    <xf numFmtId="0" fontId="28" fillId="0" borderId="14" xfId="27" applyFont="1" applyBorder="1" applyAlignment="1">
      <alignment vertical="center" wrapText="1"/>
    </xf>
    <xf numFmtId="0" fontId="28" fillId="0" borderId="15" xfId="27" applyFont="1" applyBorder="1" applyAlignment="1">
      <alignment vertical="center" wrapText="1"/>
    </xf>
    <xf numFmtId="0" fontId="27" fillId="0" borderId="31" xfId="27" applyFont="1" applyBorder="1" applyAlignment="1">
      <alignment horizontal="center" vertical="center" wrapText="1"/>
    </xf>
    <xf numFmtId="0" fontId="28" fillId="0" borderId="35" xfId="27" applyFont="1" applyBorder="1" applyAlignment="1">
      <alignment wrapText="1"/>
    </xf>
    <xf numFmtId="0" fontId="27" fillId="0" borderId="35" xfId="27" applyFont="1" applyBorder="1" applyAlignment="1">
      <alignment horizontal="center" wrapText="1"/>
    </xf>
    <xf numFmtId="0" fontId="27" fillId="16" borderId="0" xfId="27" applyFont="1" applyFill="1" applyAlignment="1">
      <alignment wrapText="1"/>
    </xf>
    <xf numFmtId="0" fontId="27" fillId="0" borderId="0" xfId="27" applyFont="1" applyAlignment="1">
      <alignment wrapText="1"/>
    </xf>
    <xf numFmtId="0" fontId="49" fillId="0" borderId="0" xfId="27" applyFont="1"/>
    <xf numFmtId="0" fontId="26" fillId="0" borderId="0" xfId="27" applyFont="1"/>
    <xf numFmtId="4" fontId="26" fillId="0" borderId="0" xfId="27" applyNumberFormat="1" applyFont="1"/>
    <xf numFmtId="165" fontId="26" fillId="16" borderId="0" xfId="27" applyNumberFormat="1" applyFont="1" applyFill="1"/>
    <xf numFmtId="0" fontId="25" fillId="0" borderId="0" xfId="27" applyFont="1"/>
    <xf numFmtId="0" fontId="25" fillId="16" borderId="0" xfId="27" applyFont="1" applyFill="1"/>
    <xf numFmtId="0" fontId="26" fillId="16" borderId="0" xfId="27" applyFont="1" applyFill="1"/>
    <xf numFmtId="4" fontId="25" fillId="0" borderId="0" xfId="27" applyNumberFormat="1" applyFont="1"/>
    <xf numFmtId="165" fontId="25" fillId="16" borderId="0" xfId="27" applyNumberFormat="1" applyFont="1" applyFill="1"/>
    <xf numFmtId="0" fontId="49" fillId="0" borderId="35" xfId="27" applyFont="1" applyBorder="1"/>
    <xf numFmtId="0" fontId="25" fillId="16" borderId="35" xfId="27" applyFont="1" applyFill="1" applyBorder="1"/>
    <xf numFmtId="0" fontId="50" fillId="0" borderId="0" xfId="27" applyFont="1" applyAlignment="1">
      <alignment vertical="center" wrapText="1"/>
    </xf>
    <xf numFmtId="0" fontId="23" fillId="0" borderId="12" xfId="0" applyFont="1" applyBorder="1" applyAlignment="1">
      <alignment horizontal="center" vertical="center"/>
    </xf>
    <xf numFmtId="2" fontId="28" fillId="16" borderId="10" xfId="0" applyNumberFormat="1" applyFont="1" applyFill="1" applyBorder="1" applyAlignment="1">
      <alignment wrapText="1"/>
    </xf>
    <xf numFmtId="2" fontId="28" fillId="0" borderId="10" xfId="0" applyNumberFormat="1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47" fillId="0" borderId="10" xfId="27" applyFont="1" applyBorder="1" applyAlignment="1">
      <alignment horizontal="right" wrapText="1"/>
    </xf>
    <xf numFmtId="0" fontId="47" fillId="0" borderId="10" xfId="0" applyFont="1" applyBorder="1" applyAlignment="1">
      <alignment horizontal="right" wrapText="1"/>
    </xf>
    <xf numFmtId="0" fontId="47" fillId="16" borderId="10" xfId="27" applyFont="1" applyFill="1" applyBorder="1" applyAlignment="1">
      <alignment horizontal="right" wrapText="1"/>
    </xf>
    <xf numFmtId="0" fontId="47" fillId="16" borderId="10" xfId="0" applyFont="1" applyFill="1" applyBorder="1" applyAlignment="1">
      <alignment horizontal="right" wrapText="1"/>
    </xf>
    <xf numFmtId="0" fontId="28" fillId="0" borderId="12" xfId="0" applyFont="1" applyBorder="1" applyAlignment="1">
      <alignment horizontal="left" vertical="center" wrapText="1"/>
    </xf>
    <xf numFmtId="0" fontId="28" fillId="16" borderId="12" xfId="0" applyFont="1" applyFill="1" applyBorder="1" applyAlignment="1">
      <alignment horizontal="left" vertical="center" wrapText="1"/>
    </xf>
    <xf numFmtId="1" fontId="28" fillId="0" borderId="13" xfId="0" applyNumberFormat="1" applyFont="1" applyBorder="1" applyAlignment="1">
      <alignment vertical="center"/>
    </xf>
    <xf numFmtId="0" fontId="27" fillId="15" borderId="14" xfId="0" applyFont="1" applyFill="1" applyBorder="1" applyAlignment="1">
      <alignment horizontal="center" vertical="center" wrapText="1"/>
    </xf>
    <xf numFmtId="0" fontId="28" fillId="0" borderId="14" xfId="0" applyFont="1" applyBorder="1" applyAlignment="1">
      <alignment vertical="center"/>
    </xf>
    <xf numFmtId="0" fontId="28" fillId="15" borderId="14" xfId="0" applyFont="1" applyFill="1" applyBorder="1" applyAlignment="1">
      <alignment vertical="center"/>
    </xf>
    <xf numFmtId="0" fontId="28" fillId="16" borderId="14" xfId="0" applyFont="1" applyFill="1" applyBorder="1" applyAlignment="1">
      <alignment vertical="center"/>
    </xf>
    <xf numFmtId="0" fontId="21" fillId="0" borderId="10" xfId="0" applyFont="1" applyBorder="1"/>
    <xf numFmtId="0" fontId="47" fillId="0" borderId="10" xfId="0" applyFont="1" applyBorder="1" applyAlignment="1">
      <alignment vertical="center"/>
    </xf>
    <xf numFmtId="0" fontId="47" fillId="15" borderId="10" xfId="0" applyFont="1" applyFill="1" applyBorder="1" applyAlignment="1">
      <alignment vertical="center"/>
    </xf>
    <xf numFmtId="0" fontId="47" fillId="16" borderId="10" xfId="0" applyFont="1" applyFill="1" applyBorder="1" applyAlignment="1">
      <alignment vertical="center"/>
    </xf>
    <xf numFmtId="0" fontId="28" fillId="0" borderId="11" xfId="27" applyFont="1" applyBorder="1" applyAlignment="1">
      <alignment horizontal="center" vertical="center" wrapText="1"/>
    </xf>
    <xf numFmtId="0" fontId="26" fillId="0" borderId="10" xfId="27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/>
    </xf>
    <xf numFmtId="0" fontId="27" fillId="0" borderId="0" xfId="27" applyFont="1" applyAlignment="1" applyProtection="1">
      <alignment horizontal="center"/>
      <protection locked="0"/>
    </xf>
    <xf numFmtId="0" fontId="50" fillId="0" borderId="0" xfId="27" applyFont="1" applyAlignment="1">
      <alignment horizontal="center" vertical="center" wrapText="1"/>
    </xf>
    <xf numFmtId="2" fontId="27" fillId="16" borderId="10" xfId="27" applyNumberFormat="1" applyFont="1" applyFill="1" applyBorder="1" applyAlignment="1">
      <alignment horizontal="right"/>
    </xf>
    <xf numFmtId="0" fontId="33" fillId="0" borderId="0" xfId="0" applyFont="1" applyProtection="1">
      <protection locked="0"/>
    </xf>
    <xf numFmtId="0" fontId="34" fillId="0" borderId="0" xfId="0" applyFont="1" applyProtection="1">
      <protection locked="0"/>
    </xf>
    <xf numFmtId="0" fontId="34" fillId="16" borderId="0" xfId="0" applyFont="1" applyFill="1" applyProtection="1">
      <protection locked="0"/>
    </xf>
    <xf numFmtId="2" fontId="33" fillId="16" borderId="0" xfId="0" applyNumberFormat="1" applyFont="1" applyFill="1" applyProtection="1">
      <protection locked="0"/>
    </xf>
    <xf numFmtId="0" fontId="35" fillId="16" borderId="0" xfId="0" applyFont="1" applyFill="1" applyAlignment="1" applyProtection="1">
      <alignment wrapText="1"/>
      <protection locked="0"/>
    </xf>
    <xf numFmtId="0" fontId="33" fillId="0" borderId="0" xfId="0" applyFont="1" applyAlignment="1" applyProtection="1">
      <alignment wrapText="1"/>
      <protection locked="0"/>
    </xf>
    <xf numFmtId="0" fontId="42" fillId="16" borderId="0" xfId="0" applyFont="1" applyFill="1" applyAlignment="1" applyProtection="1">
      <alignment wrapText="1"/>
      <protection locked="0"/>
    </xf>
    <xf numFmtId="1" fontId="33" fillId="16" borderId="0" xfId="0" applyNumberFormat="1" applyFont="1" applyFill="1" applyProtection="1">
      <protection locked="0"/>
    </xf>
    <xf numFmtId="1" fontId="33" fillId="16" borderId="0" xfId="0" applyNumberFormat="1" applyFont="1" applyFill="1" applyAlignment="1" applyProtection="1">
      <alignment horizontal="center" vertical="center"/>
      <protection locked="0"/>
    </xf>
    <xf numFmtId="0" fontId="36" fillId="0" borderId="0" xfId="0" applyFont="1" applyProtection="1">
      <protection locked="0"/>
    </xf>
    <xf numFmtId="1" fontId="36" fillId="0" borderId="0" xfId="0" applyNumberFormat="1" applyFont="1" applyProtection="1">
      <protection locked="0"/>
    </xf>
    <xf numFmtId="0" fontId="28" fillId="0" borderId="11" xfId="27" applyFont="1" applyBorder="1" applyAlignment="1">
      <alignment vertical="center" wrapText="1"/>
    </xf>
    <xf numFmtId="0" fontId="26" fillId="0" borderId="10" xfId="27" applyFont="1" applyBorder="1" applyAlignment="1">
      <alignment horizontal="left" wrapText="1"/>
    </xf>
    <xf numFmtId="0" fontId="26" fillId="0" borderId="11" xfId="0" applyFont="1" applyBorder="1" applyAlignment="1">
      <alignment horizontal="left" wrapText="1"/>
    </xf>
    <xf numFmtId="0" fontId="23" fillId="0" borderId="11" xfId="0" applyFont="1" applyBorder="1" applyAlignment="1">
      <alignment horizontal="center" vertical="center"/>
    </xf>
    <xf numFmtId="0" fontId="26" fillId="15" borderId="10" xfId="0" applyFont="1" applyFill="1" applyBorder="1" applyAlignment="1">
      <alignment vertical="center" wrapText="1"/>
    </xf>
    <xf numFmtId="2" fontId="39" fillId="16" borderId="10" xfId="0" applyNumberFormat="1" applyFont="1" applyFill="1" applyBorder="1" applyAlignment="1">
      <alignment horizontal="center" wrapText="1"/>
    </xf>
    <xf numFmtId="0" fontId="26" fillId="15" borderId="10" xfId="0" applyFont="1" applyFill="1" applyBorder="1" applyAlignment="1">
      <alignment horizontal="left" vertical="center" wrapText="1"/>
    </xf>
    <xf numFmtId="0" fontId="39" fillId="15" borderId="10" xfId="0" applyFont="1" applyFill="1" applyBorder="1" applyAlignment="1">
      <alignment horizontal="left" wrapText="1"/>
    </xf>
    <xf numFmtId="0" fontId="28" fillId="15" borderId="11" xfId="0" applyFont="1" applyFill="1" applyBorder="1" applyAlignment="1">
      <alignment horizontal="left" vertical="center" wrapText="1"/>
    </xf>
    <xf numFmtId="0" fontId="28" fillId="16" borderId="10" xfId="0" applyFont="1" applyFill="1" applyBorder="1" applyAlignment="1">
      <alignment horizontal="left" vertical="center" wrapText="1"/>
    </xf>
    <xf numFmtId="0" fontId="29" fillId="0" borderId="40" xfId="0" applyFont="1" applyBorder="1" applyAlignment="1" applyProtection="1">
      <alignment horizontal="left"/>
      <protection locked="0"/>
    </xf>
    <xf numFmtId="0" fontId="29" fillId="0" borderId="29" xfId="0" applyFont="1" applyBorder="1" applyAlignment="1" applyProtection="1">
      <alignment horizontal="left"/>
      <protection locked="0"/>
    </xf>
    <xf numFmtId="0" fontId="27" fillId="0" borderId="12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17" borderId="13" xfId="0" applyFont="1" applyFill="1" applyBorder="1" applyAlignment="1">
      <alignment horizontal="center" vertical="center" wrapText="1"/>
    </xf>
    <xf numFmtId="0" fontId="27" fillId="17" borderId="15" xfId="0" applyFont="1" applyFill="1" applyBorder="1" applyAlignment="1">
      <alignment horizontal="center" vertical="center" wrapText="1"/>
    </xf>
    <xf numFmtId="0" fontId="38" fillId="0" borderId="40" xfId="0" applyFont="1" applyBorder="1" applyAlignment="1" applyProtection="1">
      <alignment horizontal="left"/>
      <protection locked="0"/>
    </xf>
    <xf numFmtId="0" fontId="38" fillId="0" borderId="29" xfId="0" applyFont="1" applyBorder="1" applyAlignment="1" applyProtection="1">
      <alignment horizontal="left"/>
      <protection locked="0"/>
    </xf>
    <xf numFmtId="0" fontId="29" fillId="0" borderId="25" xfId="0" applyFont="1" applyBorder="1" applyAlignment="1" applyProtection="1">
      <alignment horizontal="left"/>
      <protection locked="0"/>
    </xf>
    <xf numFmtId="0" fontId="27" fillId="17" borderId="14" xfId="0" applyFont="1" applyFill="1" applyBorder="1" applyAlignment="1">
      <alignment horizontal="center" vertical="center" wrapText="1"/>
    </xf>
    <xf numFmtId="1" fontId="27" fillId="18" borderId="12" xfId="0" applyNumberFormat="1" applyFont="1" applyFill="1" applyBorder="1" applyAlignment="1">
      <alignment horizontal="center" vertical="center" wrapText="1"/>
    </xf>
    <xf numFmtId="1" fontId="27" fillId="18" borderId="11" xfId="0" applyNumberFormat="1" applyFont="1" applyFill="1" applyBorder="1" applyAlignment="1">
      <alignment horizontal="center" vertical="center" wrapText="1"/>
    </xf>
    <xf numFmtId="9" fontId="25" fillId="16" borderId="10" xfId="0" applyNumberFormat="1" applyFont="1" applyFill="1" applyBorder="1" applyAlignment="1">
      <alignment horizontal="center"/>
    </xf>
    <xf numFmtId="0" fontId="29" fillId="0" borderId="27" xfId="0" applyFont="1" applyBorder="1" applyAlignment="1" applyProtection="1">
      <alignment horizontal="left"/>
      <protection locked="0"/>
    </xf>
    <xf numFmtId="9" fontId="25" fillId="17" borderId="12" xfId="0" applyNumberFormat="1" applyFont="1" applyFill="1" applyBorder="1" applyAlignment="1">
      <alignment horizontal="center" vertical="center" textRotation="90"/>
    </xf>
    <xf numFmtId="9" fontId="25" fillId="17" borderId="11" xfId="0" applyNumberFormat="1" applyFont="1" applyFill="1" applyBorder="1" applyAlignment="1">
      <alignment horizontal="center" vertical="center" textRotation="90"/>
    </xf>
    <xf numFmtId="0" fontId="27" fillId="0" borderId="32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17" borderId="12" xfId="0" applyFont="1" applyFill="1" applyBorder="1" applyAlignment="1">
      <alignment horizontal="center" vertical="center" textRotation="90"/>
    </xf>
    <xf numFmtId="0" fontId="27" fillId="17" borderId="11" xfId="0" applyFont="1" applyFill="1" applyBorder="1" applyAlignment="1">
      <alignment horizontal="center" vertical="center" textRotation="90"/>
    </xf>
    <xf numFmtId="1" fontId="30" fillId="0" borderId="13" xfId="0" applyNumberFormat="1" applyFont="1" applyBorder="1" applyAlignment="1" applyProtection="1">
      <alignment horizontal="center"/>
      <protection locked="0"/>
    </xf>
    <xf numFmtId="1" fontId="30" fillId="0" borderId="15" xfId="0" applyNumberFormat="1" applyFont="1" applyBorder="1" applyAlignment="1" applyProtection="1">
      <alignment horizontal="center"/>
      <protection locked="0"/>
    </xf>
    <xf numFmtId="9" fontId="25" fillId="16" borderId="13" xfId="0" applyNumberFormat="1" applyFont="1" applyFill="1" applyBorder="1" applyAlignment="1">
      <alignment horizontal="center" vertical="center"/>
    </xf>
    <xf numFmtId="9" fontId="25" fillId="16" borderId="15" xfId="0" applyNumberFormat="1" applyFont="1" applyFill="1" applyBorder="1" applyAlignment="1">
      <alignment horizontal="center" vertical="center"/>
    </xf>
    <xf numFmtId="9" fontId="25" fillId="16" borderId="14" xfId="0" applyNumberFormat="1" applyFont="1" applyFill="1" applyBorder="1" applyAlignment="1">
      <alignment horizontal="center" vertical="center"/>
    </xf>
    <xf numFmtId="9" fontId="25" fillId="17" borderId="31" xfId="0" applyNumberFormat="1" applyFont="1" applyFill="1" applyBorder="1" applyAlignment="1">
      <alignment horizontal="center" vertical="center" textRotation="90"/>
    </xf>
    <xf numFmtId="9" fontId="25" fillId="17" borderId="32" xfId="0" applyNumberFormat="1" applyFont="1" applyFill="1" applyBorder="1" applyAlignment="1">
      <alignment horizontal="center" vertical="center" textRotation="90"/>
    </xf>
    <xf numFmtId="9" fontId="25" fillId="17" borderId="33" xfId="0" applyNumberFormat="1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center"/>
    </xf>
    <xf numFmtId="9" fontId="27" fillId="17" borderId="12" xfId="0" applyNumberFormat="1" applyFont="1" applyFill="1" applyBorder="1" applyAlignment="1">
      <alignment horizontal="center" vertical="center"/>
    </xf>
    <xf numFmtId="0" fontId="27" fillId="17" borderId="11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right" vertical="center" textRotation="90" wrapText="1"/>
    </xf>
    <xf numFmtId="0" fontId="27" fillId="0" borderId="11" xfId="0" applyFont="1" applyBorder="1" applyAlignment="1">
      <alignment horizontal="right" vertical="center" textRotation="90" wrapText="1"/>
    </xf>
    <xf numFmtId="1" fontId="27" fillId="16" borderId="12" xfId="0" applyNumberFormat="1" applyFont="1" applyFill="1" applyBorder="1" applyAlignment="1">
      <alignment horizontal="center" vertical="center" wrapText="1"/>
    </xf>
    <xf numFmtId="1" fontId="27" fillId="16" borderId="11" xfId="0" applyNumberFormat="1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1" fontId="27" fillId="0" borderId="12" xfId="0" applyNumberFormat="1" applyFont="1" applyBorder="1" applyAlignment="1">
      <alignment horizontal="center" vertical="center" wrapText="1"/>
    </xf>
    <xf numFmtId="1" fontId="27" fillId="0" borderId="11" xfId="0" applyNumberFormat="1" applyFont="1" applyBorder="1" applyAlignment="1">
      <alignment horizontal="center" vertical="center" wrapText="1"/>
    </xf>
    <xf numFmtId="0" fontId="27" fillId="16" borderId="12" xfId="0" applyFont="1" applyFill="1" applyBorder="1" applyAlignment="1">
      <alignment horizontal="center" vertical="center" wrapText="1"/>
    </xf>
    <xf numFmtId="0" fontId="27" fillId="16" borderId="11" xfId="0" applyFont="1" applyFill="1" applyBorder="1" applyAlignment="1">
      <alignment horizontal="center" vertical="center" wrapText="1"/>
    </xf>
    <xf numFmtId="9" fontId="27" fillId="16" borderId="12" xfId="0" applyNumberFormat="1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right" vertical="center" textRotation="90" wrapText="1"/>
    </xf>
    <xf numFmtId="1" fontId="30" fillId="16" borderId="10" xfId="0" applyNumberFormat="1" applyFont="1" applyFill="1" applyBorder="1" applyAlignment="1">
      <alignment horizontal="center" vertical="center"/>
    </xf>
    <xf numFmtId="1" fontId="30" fillId="16" borderId="28" xfId="0" applyNumberFormat="1" applyFont="1" applyFill="1" applyBorder="1" applyAlignment="1">
      <alignment horizontal="center" vertical="center"/>
    </xf>
    <xf numFmtId="1" fontId="30" fillId="16" borderId="23" xfId="0" applyNumberFormat="1" applyFont="1" applyFill="1" applyBorder="1" applyAlignment="1">
      <alignment horizontal="center" vertical="center"/>
    </xf>
    <xf numFmtId="1" fontId="29" fillId="16" borderId="1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4" xfId="0" applyFont="1" applyBorder="1" applyAlignment="1" applyProtection="1">
      <alignment horizontal="left"/>
      <protection locked="0"/>
    </xf>
    <xf numFmtId="0" fontId="29" fillId="16" borderId="29" xfId="0" applyFont="1" applyFill="1" applyBorder="1" applyAlignment="1" applyProtection="1">
      <alignment horizontal="center"/>
      <protection locked="0"/>
    </xf>
    <xf numFmtId="0" fontId="29" fillId="0" borderId="29" xfId="0" applyFont="1" applyBorder="1" applyAlignment="1" applyProtection="1">
      <alignment horizontal="center"/>
      <protection locked="0"/>
    </xf>
    <xf numFmtId="1" fontId="29" fillId="16" borderId="12" xfId="0" applyNumberFormat="1" applyFont="1" applyFill="1" applyBorder="1" applyAlignment="1" applyProtection="1">
      <alignment horizontal="center" vertical="center" wrapText="1"/>
      <protection locked="0"/>
    </xf>
    <xf numFmtId="1" fontId="29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/>
      <protection locked="0"/>
    </xf>
    <xf numFmtId="0" fontId="30" fillId="0" borderId="25" xfId="0" applyFont="1" applyBorder="1" applyAlignment="1" applyProtection="1">
      <alignment horizontal="center"/>
      <protection locked="0"/>
    </xf>
    <xf numFmtId="0" fontId="30" fillId="16" borderId="18" xfId="0" applyFont="1" applyFill="1" applyBorder="1" applyAlignment="1" applyProtection="1">
      <alignment horizontal="center"/>
      <protection locked="0"/>
    </xf>
    <xf numFmtId="0" fontId="30" fillId="0" borderId="18" xfId="0" applyFont="1" applyBorder="1" applyAlignment="1" applyProtection="1">
      <alignment horizontal="center"/>
      <protection locked="0"/>
    </xf>
    <xf numFmtId="0" fontId="29" fillId="16" borderId="21" xfId="0" applyFont="1" applyFill="1" applyBorder="1" applyAlignment="1" applyProtection="1">
      <alignment horizontal="left"/>
      <protection locked="0"/>
    </xf>
    <xf numFmtId="0" fontId="29" fillId="16" borderId="22" xfId="0" applyFont="1" applyFill="1" applyBorder="1" applyAlignment="1" applyProtection="1">
      <alignment horizontal="left"/>
      <protection locked="0"/>
    </xf>
    <xf numFmtId="0" fontId="29" fillId="0" borderId="22" xfId="0" applyFont="1" applyBorder="1" applyAlignment="1" applyProtection="1">
      <alignment horizontal="left"/>
      <protection locked="0"/>
    </xf>
    <xf numFmtId="0" fontId="29" fillId="16" borderId="24" xfId="0" applyFont="1" applyFill="1" applyBorder="1" applyAlignment="1" applyProtection="1">
      <alignment horizontal="left"/>
      <protection locked="0"/>
    </xf>
    <xf numFmtId="0" fontId="29" fillId="16" borderId="25" xfId="0" applyFont="1" applyFill="1" applyBorder="1" applyAlignment="1" applyProtection="1">
      <alignment horizontal="left"/>
      <protection locked="0"/>
    </xf>
    <xf numFmtId="0" fontId="30" fillId="16" borderId="24" xfId="0" applyFont="1" applyFill="1" applyBorder="1" applyAlignment="1" applyProtection="1">
      <alignment horizontal="left" vertical="center" wrapText="1"/>
      <protection locked="0"/>
    </xf>
    <xf numFmtId="0" fontId="30" fillId="16" borderId="25" xfId="0" applyFont="1" applyFill="1" applyBorder="1" applyAlignment="1" applyProtection="1">
      <alignment horizontal="left" vertical="center" wrapText="1"/>
      <protection locked="0"/>
    </xf>
    <xf numFmtId="0" fontId="30" fillId="0" borderId="25" xfId="0" applyFont="1" applyBorder="1" applyAlignment="1" applyProtection="1">
      <alignment horizontal="left" vertical="center" wrapText="1"/>
      <protection locked="0"/>
    </xf>
    <xf numFmtId="0" fontId="25" fillId="16" borderId="0" xfId="27" applyFont="1" applyFill="1" applyAlignment="1">
      <alignment wrapText="1"/>
    </xf>
    <xf numFmtId="0" fontId="45" fillId="0" borderId="0" xfId="27" applyAlignment="1">
      <alignment wrapText="1"/>
    </xf>
    <xf numFmtId="0" fontId="50" fillId="0" borderId="0" xfId="27" applyFont="1" applyAlignment="1">
      <alignment horizontal="center" vertical="center" wrapText="1"/>
    </xf>
    <xf numFmtId="0" fontId="27" fillId="0" borderId="0" xfId="27" applyFont="1" applyProtection="1">
      <protection locked="0"/>
    </xf>
    <xf numFmtId="0" fontId="27" fillId="0" borderId="10" xfId="27" applyFont="1" applyBorder="1" applyAlignment="1">
      <alignment horizontal="center" vertical="center" wrapText="1"/>
    </xf>
    <xf numFmtId="0" fontId="27" fillId="0" borderId="13" xfId="27" applyFont="1" applyBorder="1" applyAlignment="1">
      <alignment horizontal="center" vertical="center" wrapText="1"/>
    </xf>
    <xf numFmtId="0" fontId="27" fillId="0" borderId="14" xfId="27" applyFont="1" applyBorder="1" applyAlignment="1">
      <alignment horizontal="center" vertical="center" wrapText="1"/>
    </xf>
    <xf numFmtId="0" fontId="27" fillId="0" borderId="12" xfId="27" applyFont="1" applyBorder="1" applyAlignment="1">
      <alignment horizontal="center" vertical="center" wrapText="1"/>
    </xf>
    <xf numFmtId="0" fontId="27" fillId="0" borderId="11" xfId="27" applyFont="1" applyBorder="1" applyAlignment="1">
      <alignment horizontal="center" vertical="center" wrapText="1"/>
    </xf>
    <xf numFmtId="0" fontId="27" fillId="0" borderId="37" xfId="27" applyFont="1" applyBorder="1" applyAlignment="1">
      <alignment horizontal="center" vertical="center" wrapText="1"/>
    </xf>
    <xf numFmtId="0" fontId="28" fillId="0" borderId="13" xfId="27" applyFont="1" applyBorder="1" applyAlignment="1">
      <alignment horizontal="center" vertical="center" wrapText="1"/>
    </xf>
    <xf numFmtId="0" fontId="28" fillId="0" borderId="15" xfId="27" applyFont="1" applyBorder="1" applyAlignment="1">
      <alignment horizontal="center" vertical="center" wrapText="1"/>
    </xf>
    <xf numFmtId="0" fontId="27" fillId="0" borderId="31" xfId="27" applyFont="1" applyBorder="1" applyAlignment="1">
      <alignment horizontal="center" vertical="center" wrapText="1"/>
    </xf>
    <xf numFmtId="0" fontId="27" fillId="0" borderId="33" xfId="27" applyFont="1" applyBorder="1" applyAlignment="1">
      <alignment horizontal="center" vertical="center" wrapText="1"/>
    </xf>
    <xf numFmtId="0" fontId="27" fillId="0" borderId="34" xfId="27" applyFont="1" applyBorder="1" applyAlignment="1">
      <alignment horizontal="center" vertical="center" wrapText="1"/>
    </xf>
    <xf numFmtId="0" fontId="27" fillId="0" borderId="36" xfId="27" applyFont="1" applyBorder="1" applyAlignment="1">
      <alignment horizontal="center" vertical="center" wrapText="1"/>
    </xf>
    <xf numFmtId="10" fontId="27" fillId="0" borderId="10" xfId="27" applyNumberFormat="1" applyFont="1" applyBorder="1" applyAlignment="1">
      <alignment horizontal="center" vertical="center" wrapText="1"/>
    </xf>
    <xf numFmtId="0" fontId="27" fillId="16" borderId="12" xfId="27" applyFont="1" applyFill="1" applyBorder="1" applyAlignment="1">
      <alignment horizontal="center" vertical="center" wrapText="1"/>
    </xf>
    <xf numFmtId="0" fontId="27" fillId="16" borderId="37" xfId="27" applyFont="1" applyFill="1" applyBorder="1" applyAlignment="1">
      <alignment horizontal="center" vertical="center" wrapText="1"/>
    </xf>
    <xf numFmtId="0" fontId="27" fillId="16" borderId="11" xfId="27" applyFont="1" applyFill="1" applyBorder="1" applyAlignment="1">
      <alignment horizontal="center" vertical="center" wrapText="1"/>
    </xf>
    <xf numFmtId="0" fontId="27" fillId="0" borderId="38" xfId="27" applyFont="1" applyBorder="1" applyAlignment="1">
      <alignment horizontal="center" vertical="center" wrapText="1"/>
    </xf>
    <xf numFmtId="0" fontId="27" fillId="0" borderId="20" xfId="27" applyFont="1" applyBorder="1" applyAlignment="1">
      <alignment horizontal="center" vertical="center" wrapText="1"/>
    </xf>
    <xf numFmtId="0" fontId="27" fillId="0" borderId="35" xfId="27" applyFont="1" applyBorder="1" applyAlignment="1">
      <alignment horizontal="center" wrapText="1"/>
    </xf>
    <xf numFmtId="14" fontId="25" fillId="0" borderId="39" xfId="27" applyNumberFormat="1" applyFont="1" applyBorder="1" applyAlignment="1">
      <alignment horizontal="right"/>
    </xf>
    <xf numFmtId="0" fontId="25" fillId="0" borderId="39" xfId="27" applyFont="1" applyBorder="1" applyAlignment="1">
      <alignment horizontal="right"/>
    </xf>
    <xf numFmtId="0" fontId="25" fillId="16" borderId="0" xfId="27" applyFont="1" applyFill="1" applyAlignment="1">
      <alignment horizontal="center"/>
    </xf>
    <xf numFmtId="0" fontId="28" fillId="0" borderId="10" xfId="27" applyFont="1" applyBorder="1" applyAlignment="1">
      <alignment horizontal="center" vertical="center" wrapText="1"/>
    </xf>
  </cellXfs>
  <cellStyles count="29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26" xr:uid="{00000000-0005-0000-0000-000012000000}"/>
    <cellStyle name="Обычный 3" xfId="27" xr:uid="{00000000-0005-0000-0000-000013000000}"/>
    <cellStyle name="Обычный_нш 149 январь2009" xfId="25" xr:uid="{00000000-0005-0000-0000-000014000000}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Финансовый 2" xfId="28" xr:uid="{00000000-0005-0000-0000-00001B000000}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66"/>
  <sheetViews>
    <sheetView tabSelected="1" view="pageBreakPreview" topLeftCell="A44" zoomScale="82" zoomScaleNormal="100" zoomScaleSheetLayoutView="82" workbookViewId="0">
      <pane xSplit="2" topLeftCell="C1" activePane="topRight" state="frozen"/>
      <selection activeCell="A26" sqref="A26"/>
      <selection pane="topRight" activeCell="B51" sqref="B51"/>
    </sheetView>
  </sheetViews>
  <sheetFormatPr defaultRowHeight="18" x14ac:dyDescent="0.25"/>
  <cols>
    <col min="1" max="1" width="5.42578125" style="1" customWidth="1"/>
    <col min="2" max="2" width="34.5703125" style="1" customWidth="1"/>
    <col min="3" max="3" width="20" style="1" customWidth="1"/>
    <col min="4" max="4" width="14" style="1" customWidth="1"/>
    <col min="5" max="5" width="21.42578125" style="20" customWidth="1"/>
    <col min="6" max="6" width="10.140625" style="20" customWidth="1"/>
    <col min="7" max="7" width="9" style="20" customWidth="1"/>
    <col min="8" max="8" width="11.140625" style="20" customWidth="1"/>
    <col min="9" max="12" width="14.85546875" style="2" customWidth="1"/>
    <col min="13" max="13" width="10.28515625" style="1" customWidth="1"/>
    <col min="14" max="14" width="7.7109375" style="1" customWidth="1"/>
    <col min="15" max="15" width="10.140625" style="1" customWidth="1"/>
    <col min="16" max="16" width="8.140625" style="1" customWidth="1"/>
    <col min="17" max="17" width="11.140625" style="1" customWidth="1"/>
    <col min="18" max="18" width="14.140625" style="1" customWidth="1"/>
    <col min="19" max="20" width="15.28515625" style="1" customWidth="1"/>
    <col min="21" max="23" width="14.7109375" style="1" customWidth="1"/>
    <col min="24" max="24" width="15.5703125" style="1" customWidth="1"/>
    <col min="25" max="25" width="14.7109375" style="1" customWidth="1"/>
    <col min="26" max="26" width="12" style="1" customWidth="1"/>
    <col min="27" max="27" width="15.28515625" style="1" customWidth="1"/>
    <col min="28" max="28" width="14.42578125" style="1" customWidth="1"/>
    <col min="29" max="29" width="17" style="1" customWidth="1"/>
    <col min="30" max="30" width="12" style="1" customWidth="1"/>
    <col min="31" max="32" width="13.5703125" style="1" customWidth="1"/>
    <col min="33" max="33" width="13" style="1" customWidth="1"/>
    <col min="34" max="35" width="15" style="1" customWidth="1"/>
    <col min="36" max="36" width="14.28515625" style="1" customWidth="1"/>
    <col min="37" max="37" width="13.7109375" style="1" customWidth="1"/>
    <col min="38" max="38" width="12.5703125" style="1" customWidth="1"/>
    <col min="39" max="39" width="13" style="1" customWidth="1"/>
    <col min="40" max="40" width="13.42578125" style="1" customWidth="1"/>
    <col min="41" max="41" width="17.5703125" style="1" customWidth="1"/>
    <col min="42" max="42" width="10.42578125" style="1" customWidth="1"/>
    <col min="43" max="43" width="14.28515625" style="1" bestFit="1" customWidth="1"/>
    <col min="44" max="44" width="12.28515625" style="1" customWidth="1"/>
    <col min="45" max="45" width="14.5703125" style="1" customWidth="1"/>
    <col min="46" max="46" width="15.85546875" style="1" customWidth="1"/>
    <col min="47" max="47" width="11.42578125" style="1" customWidth="1"/>
    <col min="48" max="48" width="15.85546875" style="1" customWidth="1"/>
    <col min="49" max="49" width="9.140625" style="1" customWidth="1"/>
    <col min="50" max="50" width="17.42578125" style="1" customWidth="1"/>
    <col min="51" max="16384" width="9.140625" style="1"/>
  </cols>
  <sheetData>
    <row r="1" spans="1:46" s="55" customFormat="1" ht="33.75" customHeight="1" thickBot="1" x14ac:dyDescent="0.45">
      <c r="A1" s="52"/>
      <c r="B1" s="52"/>
      <c r="C1" s="52"/>
      <c r="D1" s="52"/>
      <c r="E1" s="52"/>
      <c r="F1" s="52"/>
      <c r="G1" s="52"/>
      <c r="H1" s="52"/>
      <c r="I1" s="53"/>
      <c r="J1" s="52"/>
      <c r="K1" s="54"/>
      <c r="L1" s="54"/>
      <c r="R1" s="56"/>
      <c r="S1" s="52"/>
      <c r="T1" s="52"/>
      <c r="U1" s="57"/>
      <c r="V1" s="57"/>
      <c r="W1" s="57"/>
      <c r="X1" s="58"/>
      <c r="Y1" s="59"/>
      <c r="Z1" s="60"/>
      <c r="AA1" s="61"/>
      <c r="AB1" s="61"/>
      <c r="AC1" s="62"/>
      <c r="AD1" s="62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52"/>
      <c r="AQ1" s="52"/>
      <c r="AR1" s="61"/>
      <c r="AS1" s="61"/>
      <c r="AT1" s="52"/>
    </row>
    <row r="2" spans="1:46" s="55" customFormat="1" ht="33" customHeight="1" x14ac:dyDescent="0.45">
      <c r="A2" s="52"/>
      <c r="B2" s="210"/>
      <c r="C2" s="210"/>
      <c r="D2" s="210"/>
      <c r="E2" s="211"/>
      <c r="F2" s="211"/>
      <c r="G2" s="178" t="s">
        <v>136</v>
      </c>
      <c r="H2" s="178"/>
      <c r="I2" s="177"/>
      <c r="J2" s="181"/>
      <c r="K2" s="180"/>
      <c r="L2" s="177"/>
      <c r="M2" s="177"/>
      <c r="N2" s="177"/>
      <c r="O2" s="177"/>
      <c r="P2" s="177"/>
      <c r="Q2" s="177"/>
      <c r="R2" s="177" t="s">
        <v>135</v>
      </c>
      <c r="S2" s="177"/>
      <c r="T2" s="177"/>
      <c r="U2" s="177"/>
      <c r="V2" s="177"/>
      <c r="W2" s="177"/>
      <c r="X2" s="63"/>
      <c r="Y2" s="212"/>
      <c r="Z2" s="212"/>
      <c r="AA2" s="63"/>
      <c r="AB2" s="64" t="s">
        <v>41</v>
      </c>
      <c r="AC2" s="65"/>
      <c r="AD2" s="286" t="s">
        <v>42</v>
      </c>
      <c r="AE2" s="286"/>
      <c r="AF2" s="286"/>
      <c r="AG2" s="286"/>
      <c r="AH2" s="286"/>
      <c r="AI2" s="286"/>
      <c r="AJ2" s="286"/>
      <c r="AK2" s="286"/>
      <c r="AL2" s="287"/>
      <c r="AM2" s="286"/>
      <c r="AN2" s="286"/>
      <c r="AO2" s="286"/>
      <c r="AP2" s="66" t="s">
        <v>0</v>
      </c>
      <c r="AQ2" s="67" t="s">
        <v>1</v>
      </c>
      <c r="AR2" s="68" t="s">
        <v>2</v>
      </c>
      <c r="AS2" s="69" t="s">
        <v>43</v>
      </c>
    </row>
    <row r="3" spans="1:46" s="55" customFormat="1" ht="31.5" customHeight="1" x14ac:dyDescent="0.45">
      <c r="A3" s="52"/>
      <c r="B3" s="211"/>
      <c r="C3" s="211"/>
      <c r="D3" s="211"/>
      <c r="E3" s="211"/>
      <c r="F3" s="211"/>
      <c r="G3" s="178"/>
      <c r="H3" s="178"/>
      <c r="I3" s="177"/>
      <c r="J3" s="181"/>
      <c r="K3" s="180"/>
      <c r="L3" s="177"/>
      <c r="M3" s="177"/>
      <c r="N3" s="177"/>
      <c r="O3" s="177"/>
      <c r="P3" s="177"/>
      <c r="Q3" s="177"/>
      <c r="R3" s="177" t="s">
        <v>134</v>
      </c>
      <c r="S3" s="177"/>
      <c r="T3" s="177"/>
      <c r="U3" s="177"/>
      <c r="V3" s="177"/>
      <c r="W3" s="177"/>
      <c r="X3" s="213"/>
      <c r="Y3" s="213"/>
      <c r="Z3" s="213"/>
      <c r="AA3" s="133"/>
      <c r="AB3" s="70">
        <v>1</v>
      </c>
      <c r="AC3" s="70"/>
      <c r="AD3" s="288" t="s">
        <v>171</v>
      </c>
      <c r="AE3" s="289"/>
      <c r="AF3" s="289"/>
      <c r="AG3" s="289"/>
      <c r="AH3" s="289"/>
      <c r="AI3" s="289"/>
      <c r="AJ3" s="289"/>
      <c r="AK3" s="289"/>
      <c r="AL3" s="290"/>
      <c r="AM3" s="289"/>
      <c r="AN3" s="289"/>
      <c r="AO3" s="289"/>
      <c r="AP3" s="71">
        <v>8</v>
      </c>
      <c r="AQ3" s="72">
        <v>10</v>
      </c>
      <c r="AR3" s="73">
        <v>3</v>
      </c>
      <c r="AS3" s="74">
        <f>AR3+AQ3+AP3</f>
        <v>21</v>
      </c>
    </row>
    <row r="4" spans="1:46" s="55" customFormat="1" ht="49.5" customHeight="1" x14ac:dyDescent="0.45">
      <c r="A4" s="52"/>
      <c r="B4" s="211"/>
      <c r="C4" s="211"/>
      <c r="D4" s="211"/>
      <c r="E4" s="211"/>
      <c r="F4" s="211"/>
      <c r="G4" s="296" t="s">
        <v>148</v>
      </c>
      <c r="H4" s="297"/>
      <c r="I4" s="297"/>
      <c r="J4" s="297"/>
      <c r="K4" s="297"/>
      <c r="L4" s="297"/>
      <c r="M4" s="297"/>
      <c r="N4" s="297"/>
      <c r="O4" s="297"/>
      <c r="P4" s="177"/>
      <c r="Q4" s="177"/>
      <c r="R4" s="177" t="s">
        <v>133</v>
      </c>
      <c r="S4" s="177"/>
      <c r="T4" s="298"/>
      <c r="U4" s="298"/>
      <c r="V4" s="298"/>
      <c r="W4" s="208"/>
      <c r="X4" s="214"/>
      <c r="Y4" s="214"/>
      <c r="Z4" s="214"/>
      <c r="AA4" s="134"/>
      <c r="AB4" s="70">
        <v>2</v>
      </c>
      <c r="AC4" s="70"/>
      <c r="AD4" s="291" t="s">
        <v>172</v>
      </c>
      <c r="AE4" s="292"/>
      <c r="AF4" s="292"/>
      <c r="AG4" s="292"/>
      <c r="AH4" s="292"/>
      <c r="AI4" s="292"/>
      <c r="AJ4" s="292"/>
      <c r="AK4" s="292"/>
      <c r="AL4" s="239"/>
      <c r="AM4" s="292"/>
      <c r="AN4" s="292"/>
      <c r="AO4" s="292"/>
      <c r="AP4" s="75">
        <v>8</v>
      </c>
      <c r="AQ4" s="76">
        <v>10</v>
      </c>
      <c r="AR4" s="77">
        <v>3</v>
      </c>
      <c r="AS4" s="78">
        <f>SUM(AP4:AR4)</f>
        <v>21</v>
      </c>
    </row>
    <row r="5" spans="1:46" s="55" customFormat="1" ht="26.25" customHeight="1" x14ac:dyDescent="0.45">
      <c r="A5" s="52"/>
      <c r="B5" s="215"/>
      <c r="C5" s="215"/>
      <c r="D5" s="215"/>
      <c r="E5" s="215"/>
      <c r="F5" s="215"/>
      <c r="G5" s="178"/>
      <c r="H5" s="178"/>
      <c r="I5" s="177"/>
      <c r="J5" s="181"/>
      <c r="K5" s="180"/>
      <c r="L5" s="177"/>
      <c r="M5" s="177"/>
      <c r="N5" s="177"/>
      <c r="O5" s="177"/>
      <c r="P5" s="177"/>
      <c r="Q5" s="177"/>
      <c r="R5" s="140"/>
      <c r="S5" s="140"/>
      <c r="T5" s="140"/>
      <c r="U5" s="140"/>
      <c r="V5" s="140"/>
      <c r="W5" s="140"/>
      <c r="X5" s="212"/>
      <c r="Y5" s="214"/>
      <c r="Z5" s="214"/>
      <c r="AA5" s="134"/>
      <c r="AB5" s="70">
        <v>3</v>
      </c>
      <c r="AC5" s="70"/>
      <c r="AD5" s="291" t="s">
        <v>173</v>
      </c>
      <c r="AE5" s="292"/>
      <c r="AF5" s="292"/>
      <c r="AG5" s="292"/>
      <c r="AH5" s="292"/>
      <c r="AI5" s="292"/>
      <c r="AJ5" s="292"/>
      <c r="AK5" s="292"/>
      <c r="AL5" s="239"/>
      <c r="AM5" s="292"/>
      <c r="AN5" s="292"/>
      <c r="AO5" s="292"/>
      <c r="AP5" s="79">
        <v>122</v>
      </c>
      <c r="AQ5" s="80">
        <v>161</v>
      </c>
      <c r="AR5" s="81">
        <v>23</v>
      </c>
      <c r="AS5" s="82">
        <v>267</v>
      </c>
    </row>
    <row r="6" spans="1:46" s="55" customFormat="1" ht="30" customHeight="1" x14ac:dyDescent="0.45">
      <c r="A6" s="52"/>
      <c r="B6" s="211"/>
      <c r="C6" s="211"/>
      <c r="D6" s="211"/>
      <c r="E6" s="211"/>
      <c r="F6" s="211"/>
      <c r="G6" s="178" t="s">
        <v>132</v>
      </c>
      <c r="H6" s="173"/>
      <c r="I6" s="173"/>
      <c r="J6" s="178" t="s">
        <v>149</v>
      </c>
      <c r="K6" s="177"/>
      <c r="L6" s="177"/>
      <c r="M6" s="177"/>
      <c r="N6" s="177"/>
      <c r="O6" s="177"/>
      <c r="P6" s="177"/>
      <c r="Q6" s="177"/>
      <c r="R6" s="177" t="s">
        <v>170</v>
      </c>
      <c r="S6" s="177"/>
      <c r="T6" s="177" t="s">
        <v>130</v>
      </c>
      <c r="U6" s="177" t="s">
        <v>169</v>
      </c>
      <c r="V6" s="177"/>
      <c r="W6" s="177"/>
      <c r="X6" s="216"/>
      <c r="Y6" s="216"/>
      <c r="Z6" s="216"/>
      <c r="AA6" s="135"/>
      <c r="AB6" s="278">
        <v>4</v>
      </c>
      <c r="AC6" s="282"/>
      <c r="AD6" s="293" t="s">
        <v>44</v>
      </c>
      <c r="AE6" s="294"/>
      <c r="AF6" s="294"/>
      <c r="AG6" s="294"/>
      <c r="AH6" s="294"/>
      <c r="AI6" s="294"/>
      <c r="AJ6" s="294"/>
      <c r="AK6" s="294"/>
      <c r="AL6" s="295"/>
      <c r="AM6" s="294"/>
      <c r="AN6" s="294"/>
      <c r="AO6" s="294"/>
      <c r="AP6" s="275">
        <f>SUM(AP11+AP32)</f>
        <v>205</v>
      </c>
      <c r="AQ6" s="275">
        <f t="shared" ref="AQ6:AR6" si="0">SUM(AQ11+AQ32)</f>
        <v>363</v>
      </c>
      <c r="AR6" s="275">
        <f t="shared" si="0"/>
        <v>106</v>
      </c>
      <c r="AS6" s="276">
        <f>SUM(AP6:AR7)</f>
        <v>674</v>
      </c>
    </row>
    <row r="7" spans="1:46" s="55" customFormat="1" ht="30.75" customHeight="1" x14ac:dyDescent="0.45">
      <c r="A7" s="52"/>
      <c r="B7" s="211"/>
      <c r="C7" s="211"/>
      <c r="D7" s="211"/>
      <c r="E7" s="211"/>
      <c r="F7" s="211"/>
      <c r="G7" s="178"/>
      <c r="H7" s="178"/>
      <c r="I7" s="177"/>
      <c r="J7" s="181"/>
      <c r="K7" s="180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216"/>
      <c r="Y7" s="216"/>
      <c r="Z7" s="216"/>
      <c r="AA7" s="135"/>
      <c r="AB7" s="278"/>
      <c r="AC7" s="283"/>
      <c r="AD7" s="293"/>
      <c r="AE7" s="294"/>
      <c r="AF7" s="294"/>
      <c r="AG7" s="294"/>
      <c r="AH7" s="294"/>
      <c r="AI7" s="294"/>
      <c r="AJ7" s="294"/>
      <c r="AK7" s="294"/>
      <c r="AL7" s="295"/>
      <c r="AM7" s="294"/>
      <c r="AN7" s="294"/>
      <c r="AO7" s="294"/>
      <c r="AP7" s="275"/>
      <c r="AQ7" s="275"/>
      <c r="AR7" s="275"/>
      <c r="AS7" s="277"/>
    </row>
    <row r="8" spans="1:46" s="55" customFormat="1" ht="27" customHeight="1" x14ac:dyDescent="0.45">
      <c r="A8" s="52"/>
      <c r="B8" s="211"/>
      <c r="C8" s="211"/>
      <c r="D8" s="211"/>
      <c r="E8" s="211"/>
      <c r="F8" s="211"/>
      <c r="G8" s="178" t="s">
        <v>186</v>
      </c>
      <c r="H8" s="178"/>
      <c r="I8" s="177"/>
      <c r="J8" s="181"/>
      <c r="K8" s="180"/>
      <c r="L8" s="177"/>
      <c r="M8" s="177"/>
      <c r="N8" s="177"/>
      <c r="O8" s="177"/>
      <c r="P8" s="177"/>
      <c r="Q8" s="177"/>
      <c r="R8" s="177" t="s">
        <v>185</v>
      </c>
      <c r="S8" s="177"/>
      <c r="T8" s="177"/>
      <c r="U8" s="177"/>
      <c r="V8" s="177"/>
      <c r="W8" s="177"/>
      <c r="X8" s="217"/>
      <c r="Y8" s="212"/>
      <c r="Z8" s="212"/>
      <c r="AA8" s="63"/>
      <c r="AB8" s="83"/>
      <c r="AC8" s="83"/>
      <c r="AD8" s="280" t="s">
        <v>45</v>
      </c>
      <c r="AE8" s="280"/>
      <c r="AF8" s="280"/>
      <c r="AG8" s="280"/>
      <c r="AH8" s="280"/>
      <c r="AI8" s="280"/>
      <c r="AJ8" s="280"/>
      <c r="AK8" s="280"/>
      <c r="AL8" s="281"/>
      <c r="AM8" s="280"/>
      <c r="AN8" s="280"/>
      <c r="AO8" s="280"/>
      <c r="AP8" s="71"/>
      <c r="AQ8" s="84"/>
      <c r="AR8" s="73"/>
      <c r="AS8" s="85"/>
    </row>
    <row r="9" spans="1:46" s="55" customFormat="1" ht="27" customHeight="1" x14ac:dyDescent="0.45">
      <c r="A9" s="52"/>
      <c r="B9" s="211"/>
      <c r="C9" s="211"/>
      <c r="D9" s="211"/>
      <c r="E9" s="211"/>
      <c r="F9" s="212"/>
      <c r="G9" s="212"/>
      <c r="H9" s="212"/>
      <c r="I9" s="212"/>
      <c r="J9" s="212"/>
      <c r="K9" s="212"/>
      <c r="L9" s="212"/>
      <c r="M9" s="212"/>
      <c r="N9" s="212"/>
      <c r="O9" s="211"/>
      <c r="P9" s="211"/>
      <c r="Q9" s="211"/>
      <c r="R9" s="86"/>
      <c r="S9" s="218"/>
      <c r="T9" s="218"/>
      <c r="U9" s="211"/>
      <c r="V9" s="211"/>
      <c r="W9" s="211"/>
      <c r="X9" s="212"/>
      <c r="Y9" s="212"/>
      <c r="Z9" s="212"/>
      <c r="AA9" s="63"/>
      <c r="AB9" s="70" t="s">
        <v>46</v>
      </c>
      <c r="AC9" s="70"/>
      <c r="AD9" s="291" t="s">
        <v>47</v>
      </c>
      <c r="AE9" s="292"/>
      <c r="AF9" s="292"/>
      <c r="AG9" s="292"/>
      <c r="AH9" s="292"/>
      <c r="AI9" s="292"/>
      <c r="AJ9" s="292"/>
      <c r="AK9" s="292"/>
      <c r="AL9" s="239"/>
      <c r="AM9" s="292"/>
      <c r="AN9" s="292"/>
      <c r="AO9" s="292"/>
      <c r="AP9" s="75">
        <v>186</v>
      </c>
      <c r="AQ9" s="76">
        <v>309</v>
      </c>
      <c r="AR9" s="77">
        <v>98</v>
      </c>
      <c r="AS9" s="87">
        <f>SUM(AP9:AR9)</f>
        <v>593</v>
      </c>
    </row>
    <row r="10" spans="1:46" s="55" customFormat="1" ht="28.5" customHeight="1" x14ac:dyDescent="0.45">
      <c r="A10" s="52"/>
      <c r="B10" s="211"/>
      <c r="C10" s="211"/>
      <c r="D10" s="211"/>
      <c r="E10" s="211"/>
      <c r="F10" s="219"/>
      <c r="G10" s="219"/>
      <c r="H10" s="219"/>
      <c r="I10" s="219"/>
      <c r="J10" s="219"/>
      <c r="K10" s="219"/>
      <c r="L10" s="219"/>
      <c r="M10" s="211"/>
      <c r="N10" s="211"/>
      <c r="O10" s="219"/>
      <c r="P10" s="219"/>
      <c r="Q10" s="219"/>
      <c r="R10" s="220"/>
      <c r="S10" s="219"/>
      <c r="T10" s="219"/>
      <c r="U10" s="219"/>
      <c r="V10" s="219"/>
      <c r="W10" s="219"/>
      <c r="X10" s="211"/>
      <c r="Y10" s="211"/>
      <c r="Z10" s="86"/>
      <c r="AA10" s="86"/>
      <c r="AB10" s="88" t="s">
        <v>48</v>
      </c>
      <c r="AC10" s="88"/>
      <c r="AD10" s="279" t="s">
        <v>49</v>
      </c>
      <c r="AE10" s="239"/>
      <c r="AF10" s="239"/>
      <c r="AG10" s="239"/>
      <c r="AH10" s="239"/>
      <c r="AI10" s="239"/>
      <c r="AJ10" s="239"/>
      <c r="AK10" s="239"/>
      <c r="AL10" s="239"/>
      <c r="AM10" s="239"/>
      <c r="AN10" s="239"/>
      <c r="AO10" s="239"/>
      <c r="AP10" s="77">
        <v>6</v>
      </c>
      <c r="AQ10" s="77">
        <v>6</v>
      </c>
      <c r="AR10" s="77">
        <v>8</v>
      </c>
      <c r="AS10" s="87">
        <f t="shared" ref="AS10:AS11" si="1">SUM(AP10:AR10)</f>
        <v>20</v>
      </c>
    </row>
    <row r="11" spans="1:46" s="55" customFormat="1" ht="33.75" customHeight="1" x14ac:dyDescent="0.4">
      <c r="A11" s="52"/>
      <c r="B11" s="52"/>
      <c r="C11" s="52"/>
      <c r="D11" s="52"/>
      <c r="E11" s="52"/>
      <c r="M11" s="52"/>
      <c r="N11" s="52"/>
      <c r="R11" s="56"/>
      <c r="Z11" s="61"/>
      <c r="AA11" s="61"/>
      <c r="AB11" s="89"/>
      <c r="AC11" s="89"/>
      <c r="AD11" s="284" t="s">
        <v>43</v>
      </c>
      <c r="AE11" s="285"/>
      <c r="AF11" s="285"/>
      <c r="AG11" s="285"/>
      <c r="AH11" s="285"/>
      <c r="AI11" s="285"/>
      <c r="AJ11" s="285"/>
      <c r="AK11" s="285"/>
      <c r="AL11" s="285"/>
      <c r="AM11" s="285"/>
      <c r="AN11" s="285"/>
      <c r="AO11" s="285"/>
      <c r="AP11" s="90">
        <f>SUBTOTAL(9,AP9:AP10)</f>
        <v>192</v>
      </c>
      <c r="AQ11" s="90">
        <f t="shared" ref="AQ11:AR11" si="2">SUBTOTAL(9,AQ9:AQ10)</f>
        <v>315</v>
      </c>
      <c r="AR11" s="90">
        <f t="shared" si="2"/>
        <v>106</v>
      </c>
      <c r="AS11" s="87">
        <f t="shared" si="1"/>
        <v>613</v>
      </c>
    </row>
    <row r="12" spans="1:46" s="55" customFormat="1" ht="25.5" customHeight="1" x14ac:dyDescent="0.4">
      <c r="A12" s="52"/>
      <c r="B12" s="52"/>
      <c r="C12" s="52"/>
      <c r="D12" s="52"/>
      <c r="E12" s="52"/>
      <c r="R12" s="61"/>
      <c r="Z12" s="61"/>
      <c r="AA12" s="61"/>
      <c r="AB12" s="88">
        <v>1</v>
      </c>
      <c r="AC12" s="88"/>
      <c r="AD12" s="279" t="s">
        <v>24</v>
      </c>
      <c r="AE12" s="239"/>
      <c r="AF12" s="239"/>
      <c r="AG12" s="239"/>
      <c r="AH12" s="239"/>
      <c r="AI12" s="239"/>
      <c r="AJ12" s="239"/>
      <c r="AK12" s="239"/>
      <c r="AL12" s="239"/>
      <c r="AM12" s="239"/>
      <c r="AN12" s="239"/>
      <c r="AO12" s="239"/>
      <c r="AP12" s="91"/>
      <c r="AQ12" s="92"/>
      <c r="AR12" s="91"/>
      <c r="AS12" s="93"/>
    </row>
    <row r="13" spans="1:46" s="55" customFormat="1" ht="28.5" customHeight="1" x14ac:dyDescent="0.4">
      <c r="A13" s="52"/>
      <c r="B13" s="52"/>
      <c r="C13" s="52"/>
      <c r="D13" s="52"/>
      <c r="E13" s="52"/>
      <c r="M13" s="52"/>
      <c r="N13" s="52"/>
      <c r="O13" s="52"/>
      <c r="P13" s="52"/>
      <c r="Q13" s="52"/>
      <c r="R13" s="61"/>
      <c r="S13" s="52"/>
      <c r="T13" s="52"/>
      <c r="U13" s="52"/>
      <c r="V13" s="52"/>
      <c r="W13" s="52"/>
      <c r="X13" s="52"/>
      <c r="Y13" s="52"/>
      <c r="Z13" s="61"/>
      <c r="AA13" s="61"/>
      <c r="AB13" s="88">
        <v>2</v>
      </c>
      <c r="AC13" s="88"/>
      <c r="AD13" s="279" t="s">
        <v>50</v>
      </c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  <c r="AO13" s="239"/>
      <c r="AP13" s="91"/>
      <c r="AQ13" s="92"/>
      <c r="AR13" s="91"/>
      <c r="AS13" s="93"/>
    </row>
    <row r="14" spans="1:46" s="55" customFormat="1" ht="26.25" customHeight="1" x14ac:dyDescent="0.4">
      <c r="A14" s="52"/>
      <c r="B14" s="52"/>
      <c r="C14" s="52"/>
      <c r="D14" s="52"/>
      <c r="E14" s="52"/>
      <c r="M14" s="52"/>
      <c r="N14" s="52"/>
      <c r="O14" s="94"/>
      <c r="P14" s="94"/>
      <c r="Q14" s="94"/>
      <c r="R14" s="53"/>
      <c r="S14" s="94"/>
      <c r="T14" s="94"/>
      <c r="U14" s="94"/>
      <c r="V14" s="94"/>
      <c r="W14" s="94"/>
      <c r="X14" s="52"/>
      <c r="Y14" s="52"/>
      <c r="Z14" s="61"/>
      <c r="AA14" s="61"/>
      <c r="AB14" s="88">
        <v>3</v>
      </c>
      <c r="AC14" s="88"/>
      <c r="AD14" s="279" t="s">
        <v>51</v>
      </c>
      <c r="AE14" s="239"/>
      <c r="AF14" s="239"/>
      <c r="AG14" s="239"/>
      <c r="AH14" s="239"/>
      <c r="AI14" s="239"/>
      <c r="AJ14" s="239"/>
      <c r="AK14" s="239"/>
      <c r="AL14" s="239"/>
      <c r="AM14" s="239"/>
      <c r="AN14" s="239"/>
      <c r="AO14" s="239"/>
      <c r="AP14" s="91"/>
      <c r="AQ14" s="92"/>
      <c r="AR14" s="91"/>
      <c r="AS14" s="93"/>
    </row>
    <row r="15" spans="1:46" s="55" customFormat="1" ht="27.75" customHeight="1" x14ac:dyDescent="0.4">
      <c r="A15" s="52"/>
      <c r="B15" s="52"/>
      <c r="C15" s="52"/>
      <c r="D15" s="52"/>
      <c r="E15" s="52"/>
      <c r="F15" s="94" t="s">
        <v>52</v>
      </c>
      <c r="G15" s="94"/>
      <c r="H15" s="94"/>
      <c r="I15" s="94"/>
      <c r="J15" s="94"/>
      <c r="K15" s="94"/>
      <c r="L15" s="52"/>
      <c r="R15" s="56"/>
      <c r="S15" s="94"/>
      <c r="T15" s="94"/>
      <c r="U15" s="94"/>
      <c r="V15" s="94"/>
      <c r="W15" s="94"/>
      <c r="X15" s="52"/>
      <c r="Y15" s="52"/>
      <c r="Z15" s="61"/>
      <c r="AA15" s="61"/>
      <c r="AB15" s="88">
        <v>4</v>
      </c>
      <c r="AC15" s="88"/>
      <c r="AD15" s="279" t="s">
        <v>53</v>
      </c>
      <c r="AE15" s="239"/>
      <c r="AF15" s="239"/>
      <c r="AG15" s="239"/>
      <c r="AH15" s="239"/>
      <c r="AI15" s="239"/>
      <c r="AJ15" s="239"/>
      <c r="AK15" s="239"/>
      <c r="AL15" s="239"/>
      <c r="AM15" s="239"/>
      <c r="AN15" s="239"/>
      <c r="AO15" s="239"/>
      <c r="AP15" s="91"/>
      <c r="AQ15" s="92"/>
      <c r="AR15" s="91"/>
      <c r="AS15" s="93"/>
    </row>
    <row r="16" spans="1:46" s="55" customFormat="1" ht="27" customHeight="1" x14ac:dyDescent="0.4">
      <c r="A16" s="52"/>
      <c r="B16" s="52"/>
      <c r="C16" s="52"/>
      <c r="D16" s="52"/>
      <c r="E16" s="52"/>
      <c r="F16" s="52"/>
      <c r="G16" s="95" t="s">
        <v>54</v>
      </c>
      <c r="H16" s="52"/>
      <c r="I16" s="52"/>
      <c r="J16" s="52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4"/>
      <c r="Y16" s="94"/>
      <c r="Z16" s="61"/>
      <c r="AA16" s="61"/>
      <c r="AB16" s="88">
        <v>5</v>
      </c>
      <c r="AC16" s="97"/>
      <c r="AD16" s="239" t="s">
        <v>55</v>
      </c>
      <c r="AE16" s="239"/>
      <c r="AF16" s="239"/>
      <c r="AG16" s="239"/>
      <c r="AH16" s="239"/>
      <c r="AI16" s="239"/>
      <c r="AJ16" s="239"/>
      <c r="AK16" s="239"/>
      <c r="AL16" s="239"/>
      <c r="AM16" s="239"/>
      <c r="AN16" s="239"/>
      <c r="AO16" s="239"/>
      <c r="AP16" s="91">
        <v>3</v>
      </c>
      <c r="AQ16" s="92">
        <v>4</v>
      </c>
      <c r="AR16" s="91"/>
      <c r="AS16" s="93">
        <f>SUM(AP16:AR16)</f>
        <v>7</v>
      </c>
    </row>
    <row r="17" spans="1:45" s="55" customFormat="1" ht="21.75" customHeight="1" x14ac:dyDescent="0.4">
      <c r="A17" s="52"/>
      <c r="B17" s="52"/>
      <c r="C17" s="52"/>
      <c r="D17" s="52"/>
      <c r="E17" s="52"/>
      <c r="M17" s="52"/>
      <c r="N17" s="52"/>
      <c r="O17" s="52"/>
      <c r="P17" s="52"/>
      <c r="Q17" s="52"/>
      <c r="R17" s="61"/>
      <c r="S17" s="52"/>
      <c r="T17" s="52"/>
      <c r="U17" s="52"/>
      <c r="V17" s="52"/>
      <c r="W17" s="52"/>
      <c r="X17" s="52"/>
      <c r="Y17" s="52"/>
      <c r="Z17" s="61"/>
      <c r="AA17" s="61"/>
      <c r="AB17" s="88">
        <v>6</v>
      </c>
      <c r="AC17" s="98"/>
      <c r="AD17" s="239" t="s">
        <v>56</v>
      </c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91">
        <v>4</v>
      </c>
      <c r="AQ17" s="92">
        <v>12</v>
      </c>
      <c r="AR17" s="91"/>
      <c r="AS17" s="93">
        <f t="shared" ref="AS17:AS18" si="3">SUM(AP17:AR17)</f>
        <v>16</v>
      </c>
    </row>
    <row r="18" spans="1:45" s="55" customFormat="1" ht="23.25" customHeight="1" x14ac:dyDescent="0.4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61"/>
      <c r="S18" s="52"/>
      <c r="T18" s="52"/>
      <c r="U18" s="52"/>
      <c r="V18" s="52"/>
      <c r="W18" s="52"/>
      <c r="X18" s="52"/>
      <c r="Y18" s="52"/>
      <c r="Z18" s="61"/>
      <c r="AA18" s="61"/>
      <c r="AB18" s="88">
        <v>7</v>
      </c>
      <c r="AC18" s="98"/>
      <c r="AD18" s="239" t="s">
        <v>139</v>
      </c>
      <c r="AE18" s="239"/>
      <c r="AF18" s="239"/>
      <c r="AG18" s="239"/>
      <c r="AH18" s="239"/>
      <c r="AI18" s="239"/>
      <c r="AJ18" s="239"/>
      <c r="AK18" s="239"/>
      <c r="AL18" s="239"/>
      <c r="AM18" s="239"/>
      <c r="AN18" s="239"/>
      <c r="AO18" s="239"/>
      <c r="AP18" s="91"/>
      <c r="AQ18" s="92">
        <v>5</v>
      </c>
      <c r="AR18" s="91"/>
      <c r="AS18" s="93">
        <f t="shared" si="3"/>
        <v>5</v>
      </c>
    </row>
    <row r="19" spans="1:45" s="55" customFormat="1" ht="25.5" customHeight="1" x14ac:dyDescent="0.4">
      <c r="A19" s="52"/>
      <c r="B19" s="52"/>
      <c r="C19" s="52"/>
      <c r="D19" s="52"/>
      <c r="E19" s="52"/>
      <c r="F19" s="94"/>
      <c r="G19" s="53" t="s">
        <v>168</v>
      </c>
      <c r="H19" s="52"/>
      <c r="I19" s="52"/>
      <c r="J19" s="95"/>
      <c r="K19" s="94"/>
      <c r="M19" s="52"/>
      <c r="N19" s="52"/>
      <c r="O19" s="52"/>
      <c r="P19" s="52"/>
      <c r="Q19" s="52"/>
      <c r="R19" s="61"/>
      <c r="S19" s="52"/>
      <c r="T19" s="52"/>
      <c r="U19" s="52"/>
      <c r="V19" s="52"/>
      <c r="W19" s="52"/>
      <c r="X19" s="52"/>
      <c r="Y19" s="52"/>
      <c r="Z19" s="61"/>
      <c r="AA19" s="61"/>
      <c r="AB19" s="88">
        <v>8</v>
      </c>
      <c r="AC19" s="98"/>
      <c r="AD19" s="239" t="s">
        <v>57</v>
      </c>
      <c r="AE19" s="239"/>
      <c r="AF19" s="239"/>
      <c r="AG19" s="239"/>
      <c r="AH19" s="239"/>
      <c r="AI19" s="239"/>
      <c r="AJ19" s="239"/>
      <c r="AK19" s="239"/>
      <c r="AL19" s="239"/>
      <c r="AM19" s="239"/>
      <c r="AN19" s="239"/>
      <c r="AO19" s="239"/>
      <c r="AP19" s="91">
        <v>6</v>
      </c>
      <c r="AQ19" s="92">
        <v>12</v>
      </c>
      <c r="AR19" s="91"/>
      <c r="AS19" s="93">
        <f>SUM(AP19:AR19)</f>
        <v>18</v>
      </c>
    </row>
    <row r="20" spans="1:45" s="55" customFormat="1" ht="25.5" customHeight="1" x14ac:dyDescent="0.4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61"/>
      <c r="S20" s="52"/>
      <c r="T20" s="52"/>
      <c r="U20" s="52"/>
      <c r="V20" s="52"/>
      <c r="W20" s="52"/>
      <c r="X20" s="52"/>
      <c r="Y20" s="52"/>
      <c r="Z20" s="61"/>
      <c r="AA20" s="61"/>
      <c r="AB20" s="88">
        <v>9</v>
      </c>
      <c r="AC20" s="98"/>
      <c r="AD20" s="239" t="s">
        <v>58</v>
      </c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91"/>
      <c r="AQ20" s="92"/>
      <c r="AR20" s="91"/>
      <c r="AS20" s="93"/>
    </row>
    <row r="21" spans="1:45" s="55" customFormat="1" ht="28.5" customHeight="1" x14ac:dyDescent="0.4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61"/>
      <c r="S21" s="52"/>
      <c r="T21" s="52"/>
      <c r="U21" s="52"/>
      <c r="V21" s="52"/>
      <c r="W21" s="52"/>
      <c r="X21" s="52"/>
      <c r="Y21" s="52"/>
      <c r="Z21" s="61"/>
      <c r="AA21" s="61"/>
      <c r="AB21" s="88">
        <v>10</v>
      </c>
      <c r="AC21" s="98"/>
      <c r="AD21" s="239" t="s">
        <v>59</v>
      </c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39"/>
      <c r="AP21" s="91"/>
      <c r="AQ21" s="92"/>
      <c r="AR21" s="91"/>
      <c r="AS21" s="93"/>
    </row>
    <row r="22" spans="1:45" s="55" customFormat="1" ht="22.5" customHeight="1" x14ac:dyDescent="0.4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61"/>
      <c r="S22" s="52"/>
      <c r="T22" s="52"/>
      <c r="U22" s="52"/>
      <c r="V22" s="52"/>
      <c r="W22" s="52"/>
      <c r="X22" s="52"/>
      <c r="Y22" s="52"/>
      <c r="Z22" s="61"/>
      <c r="AA22" s="61"/>
      <c r="AB22" s="88">
        <v>11</v>
      </c>
      <c r="AC22" s="98"/>
      <c r="AD22" s="239" t="s">
        <v>60</v>
      </c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39"/>
      <c r="AP22" s="91"/>
      <c r="AQ22" s="92"/>
      <c r="AR22" s="91"/>
      <c r="AS22" s="93"/>
    </row>
    <row r="23" spans="1:45" s="55" customFormat="1" ht="28.5" customHeight="1" x14ac:dyDescent="0.4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61"/>
      <c r="S23" s="52"/>
      <c r="T23" s="52"/>
      <c r="U23" s="52"/>
      <c r="V23" s="52"/>
      <c r="W23" s="52"/>
      <c r="X23" s="52"/>
      <c r="Y23" s="52"/>
      <c r="Z23" s="61"/>
      <c r="AA23" s="61"/>
      <c r="AB23" s="88">
        <v>12</v>
      </c>
      <c r="AC23" s="98"/>
      <c r="AD23" s="239" t="s">
        <v>61</v>
      </c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  <c r="AP23" s="91"/>
      <c r="AQ23" s="92"/>
      <c r="AR23" s="91"/>
      <c r="AS23" s="93"/>
    </row>
    <row r="24" spans="1:45" s="55" customFormat="1" ht="24.75" customHeight="1" x14ac:dyDescent="0.4">
      <c r="A24" s="52"/>
      <c r="B24" s="52"/>
      <c r="C24" s="94" t="s">
        <v>62</v>
      </c>
      <c r="D24" s="94"/>
      <c r="E24" s="94"/>
      <c r="F24" s="52">
        <v>21</v>
      </c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61"/>
      <c r="S24" s="52"/>
      <c r="T24" s="52"/>
      <c r="U24" s="52"/>
      <c r="V24" s="52"/>
      <c r="W24" s="52"/>
      <c r="X24" s="52"/>
      <c r="Y24" s="52"/>
      <c r="Z24" s="61"/>
      <c r="AA24" s="61"/>
      <c r="AB24" s="88">
        <v>13</v>
      </c>
      <c r="AC24" s="98"/>
      <c r="AD24" s="239" t="s">
        <v>63</v>
      </c>
      <c r="AE24" s="239"/>
      <c r="AF24" s="239"/>
      <c r="AG24" s="239"/>
      <c r="AH24" s="239"/>
      <c r="AI24" s="239"/>
      <c r="AJ24" s="239"/>
      <c r="AK24" s="239"/>
      <c r="AL24" s="239"/>
      <c r="AM24" s="239"/>
      <c r="AN24" s="239"/>
      <c r="AO24" s="239"/>
      <c r="AP24" s="91"/>
      <c r="AQ24" s="92">
        <v>15</v>
      </c>
      <c r="AR24" s="91"/>
      <c r="AS24" s="93">
        <f>SUM(AP24:AR24)</f>
        <v>15</v>
      </c>
    </row>
    <row r="25" spans="1:45" s="55" customFormat="1" ht="23.25" customHeight="1" x14ac:dyDescent="0.4">
      <c r="A25" s="52"/>
      <c r="B25" s="52"/>
      <c r="C25" s="94"/>
      <c r="D25" s="94"/>
      <c r="E25" s="94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61"/>
      <c r="S25" s="52"/>
      <c r="T25" s="52"/>
      <c r="U25" s="52"/>
      <c r="V25" s="52"/>
      <c r="W25" s="52"/>
      <c r="X25" s="52"/>
      <c r="Y25" s="52"/>
      <c r="Z25" s="61"/>
      <c r="AA25" s="61"/>
      <c r="AB25" s="88">
        <v>14</v>
      </c>
      <c r="AC25" s="98"/>
      <c r="AD25" s="231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2"/>
      <c r="AP25" s="91"/>
      <c r="AQ25" s="92"/>
      <c r="AR25" s="91"/>
      <c r="AS25" s="93"/>
    </row>
    <row r="26" spans="1:45" s="55" customFormat="1" ht="25.5" customHeight="1" x14ac:dyDescent="0.4">
      <c r="A26" s="52"/>
      <c r="B26" s="52"/>
      <c r="C26" s="94" t="s">
        <v>64</v>
      </c>
      <c r="D26" s="94"/>
      <c r="E26" s="94">
        <v>306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61"/>
      <c r="S26" s="52"/>
      <c r="T26" s="52"/>
      <c r="U26" s="52"/>
      <c r="V26" s="52"/>
      <c r="W26" s="52"/>
      <c r="X26" s="52"/>
      <c r="Y26" s="52"/>
      <c r="Z26" s="61"/>
      <c r="AA26" s="61"/>
      <c r="AB26" s="88">
        <v>15</v>
      </c>
      <c r="AC26" s="99"/>
      <c r="AD26" s="231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91"/>
      <c r="AQ26" s="91"/>
      <c r="AR26" s="91"/>
      <c r="AS26" s="93"/>
    </row>
    <row r="27" spans="1:45" s="100" customFormat="1" ht="22.5" customHeight="1" x14ac:dyDescent="0.4">
      <c r="B27" s="101"/>
      <c r="AB27" s="88">
        <v>16</v>
      </c>
      <c r="AC27" s="102"/>
      <c r="AD27" s="237"/>
      <c r="AE27" s="238"/>
      <c r="AF27" s="238"/>
      <c r="AG27" s="238"/>
      <c r="AH27" s="238"/>
      <c r="AI27" s="238"/>
      <c r="AJ27" s="238"/>
      <c r="AK27" s="238"/>
      <c r="AL27" s="238"/>
      <c r="AM27" s="238"/>
      <c r="AN27" s="238"/>
      <c r="AO27" s="238"/>
      <c r="AP27" s="103"/>
      <c r="AQ27" s="104"/>
      <c r="AR27" s="103"/>
      <c r="AS27" s="93"/>
    </row>
    <row r="28" spans="1:45" s="55" customFormat="1" ht="33.75" customHeight="1" x14ac:dyDescent="0.4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61"/>
      <c r="S28" s="52"/>
      <c r="T28" s="52"/>
      <c r="U28" s="52"/>
      <c r="V28" s="52"/>
      <c r="W28" s="52"/>
      <c r="X28" s="52"/>
      <c r="Y28" s="52"/>
      <c r="Z28" s="61"/>
      <c r="AA28" s="61"/>
      <c r="AB28" s="88">
        <v>17</v>
      </c>
      <c r="AC28" s="98"/>
      <c r="AD28" s="239" t="s">
        <v>65</v>
      </c>
      <c r="AE28" s="239"/>
      <c r="AF28" s="239"/>
      <c r="AG28" s="239"/>
      <c r="AH28" s="239"/>
      <c r="AI28" s="239"/>
      <c r="AJ28" s="239"/>
      <c r="AK28" s="239"/>
      <c r="AL28" s="239"/>
      <c r="AM28" s="239"/>
      <c r="AN28" s="239"/>
      <c r="AO28" s="239"/>
      <c r="AP28" s="91"/>
      <c r="AQ28" s="92"/>
      <c r="AR28" s="91"/>
      <c r="AS28" s="93"/>
    </row>
    <row r="29" spans="1:45" s="55" customFormat="1" ht="31.5" customHeight="1" x14ac:dyDescent="0.4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61"/>
      <c r="S29" s="52"/>
      <c r="T29" s="52"/>
      <c r="U29" s="52"/>
      <c r="V29" s="52"/>
      <c r="W29" s="52"/>
      <c r="X29" s="52"/>
      <c r="Y29" s="52"/>
      <c r="Z29" s="61"/>
      <c r="AA29" s="61"/>
      <c r="AB29" s="88">
        <v>18</v>
      </c>
      <c r="AC29" s="98"/>
      <c r="AD29" s="239" t="s">
        <v>66</v>
      </c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  <c r="AO29" s="239"/>
      <c r="AP29" s="91"/>
      <c r="AQ29" s="92"/>
      <c r="AR29" s="91"/>
      <c r="AS29" s="93"/>
    </row>
    <row r="30" spans="1:45" s="55" customFormat="1" ht="29.25" customHeight="1" x14ac:dyDescent="0.4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61"/>
      <c r="S30" s="52"/>
      <c r="T30" s="52"/>
      <c r="X30" s="52"/>
      <c r="Y30" s="52"/>
      <c r="Z30" s="61"/>
      <c r="AA30" s="61"/>
      <c r="AB30" s="88">
        <v>19</v>
      </c>
      <c r="AC30" s="98"/>
      <c r="AD30" s="239" t="s">
        <v>67</v>
      </c>
      <c r="AE30" s="239"/>
      <c r="AF30" s="239"/>
      <c r="AG30" s="239"/>
      <c r="AH30" s="239"/>
      <c r="AI30" s="239"/>
      <c r="AJ30" s="239"/>
      <c r="AK30" s="239"/>
      <c r="AL30" s="239"/>
      <c r="AM30" s="239"/>
      <c r="AN30" s="239"/>
      <c r="AO30" s="239"/>
      <c r="AP30" s="91"/>
      <c r="AQ30" s="92"/>
      <c r="AR30" s="91"/>
      <c r="AS30" s="93"/>
    </row>
    <row r="31" spans="1:45" s="55" customFormat="1" ht="38.25" customHeight="1" x14ac:dyDescent="0.4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61"/>
      <c r="S31" s="52"/>
      <c r="T31" s="52"/>
      <c r="U31" s="52"/>
      <c r="V31" s="52"/>
      <c r="W31" s="52"/>
      <c r="X31" s="52"/>
      <c r="Y31" s="52"/>
      <c r="Z31" s="61"/>
      <c r="AA31" s="61"/>
      <c r="AB31" s="88">
        <v>20</v>
      </c>
      <c r="AC31" s="105"/>
      <c r="AD31" s="244" t="s">
        <v>68</v>
      </c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106"/>
      <c r="AQ31" s="107"/>
      <c r="AR31" s="106"/>
      <c r="AS31" s="93"/>
    </row>
    <row r="32" spans="1:45" s="55" customFormat="1" ht="36" customHeight="1" x14ac:dyDescent="0.4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61"/>
      <c r="S32" s="52"/>
      <c r="T32" s="52"/>
      <c r="U32" s="52"/>
      <c r="V32" s="52"/>
      <c r="W32" s="52"/>
      <c r="X32" s="52"/>
      <c r="Y32" s="52"/>
      <c r="Z32" s="61"/>
      <c r="AA32" s="61"/>
      <c r="AB32" s="252"/>
      <c r="AC32" s="253"/>
      <c r="AD32" s="253"/>
      <c r="AE32" s="253"/>
      <c r="AF32" s="253"/>
      <c r="AG32" s="253"/>
      <c r="AH32" s="253"/>
      <c r="AI32" s="253"/>
      <c r="AJ32" s="253"/>
      <c r="AK32" s="253"/>
      <c r="AL32" s="253"/>
      <c r="AM32" s="253"/>
      <c r="AN32" s="253"/>
      <c r="AO32" s="253"/>
      <c r="AP32" s="139">
        <f>SUM(AP12:AP31)</f>
        <v>13</v>
      </c>
      <c r="AQ32" s="139">
        <f t="shared" ref="AQ32:AR32" si="4">SUM(AQ12:AQ31)</f>
        <v>48</v>
      </c>
      <c r="AR32" s="139">
        <f t="shared" si="4"/>
        <v>0</v>
      </c>
      <c r="AS32" s="139">
        <f>SUM(AS12:AS31)</f>
        <v>61</v>
      </c>
    </row>
    <row r="33" spans="1:50" s="3" customFormat="1" ht="24.75" customHeight="1" x14ac:dyDescent="0.45">
      <c r="A33" s="6"/>
      <c r="B33" s="9"/>
      <c r="C33" s="9"/>
      <c r="D33" s="9"/>
      <c r="E33" s="22"/>
      <c r="F33" s="22"/>
      <c r="G33" s="22"/>
      <c r="H33" s="22"/>
      <c r="I33" s="10"/>
      <c r="J33" s="10"/>
      <c r="K33" s="10"/>
      <c r="L33" s="10"/>
      <c r="M33" s="260" t="s">
        <v>184</v>
      </c>
      <c r="N33" s="260"/>
      <c r="O33" s="260"/>
      <c r="P33" s="260"/>
      <c r="Q33" s="260"/>
      <c r="R33" s="260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6"/>
      <c r="AK33" s="6"/>
      <c r="AL33" s="6"/>
      <c r="AM33" s="6"/>
      <c r="AN33" s="6"/>
      <c r="AO33" s="6"/>
    </row>
    <row r="34" spans="1:50" s="3" customFormat="1" ht="28.5" customHeight="1" x14ac:dyDescent="0.45">
      <c r="A34" s="6"/>
      <c r="B34" s="9"/>
      <c r="C34" s="9"/>
      <c r="D34" s="9"/>
      <c r="E34" s="22"/>
      <c r="F34" s="22"/>
      <c r="G34" s="22"/>
      <c r="H34" s="22"/>
      <c r="I34" s="10"/>
      <c r="J34" s="10"/>
      <c r="K34" s="10"/>
      <c r="L34" s="10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8"/>
      <c r="AJ34" s="6"/>
      <c r="AK34" s="6"/>
      <c r="AL34" s="6"/>
      <c r="AM34" s="6"/>
      <c r="AN34" s="6"/>
      <c r="AO34" s="6"/>
    </row>
    <row r="35" spans="1:50" s="3" customFormat="1" ht="22.5" customHeight="1" x14ac:dyDescent="0.45">
      <c r="A35" s="6"/>
      <c r="B35" s="6"/>
      <c r="C35" s="6"/>
      <c r="D35" s="6"/>
      <c r="E35" s="21"/>
      <c r="F35" s="21"/>
      <c r="G35" s="21"/>
      <c r="H35" s="21"/>
      <c r="I35" s="7">
        <v>17697</v>
      </c>
      <c r="J35" s="7"/>
      <c r="K35" s="7"/>
      <c r="L35" s="7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Q35">
        <v>3692</v>
      </c>
      <c r="AR35"/>
      <c r="AS35"/>
    </row>
    <row r="36" spans="1:50" s="3" customFormat="1" ht="1.5" hidden="1" customHeight="1" x14ac:dyDescent="0.45">
      <c r="A36" s="6"/>
      <c r="B36" s="6"/>
      <c r="C36" s="6"/>
      <c r="D36" s="6"/>
      <c r="E36" s="21"/>
      <c r="F36" s="21"/>
      <c r="G36" s="21"/>
      <c r="H36" s="21"/>
      <c r="I36" s="7"/>
      <c r="J36" s="7"/>
      <c r="K36" s="7"/>
      <c r="L36" s="7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1:50" s="3" customFormat="1" ht="34.5" hidden="1" customHeight="1" x14ac:dyDescent="0.45">
      <c r="A37" s="6"/>
      <c r="B37" s="6"/>
      <c r="C37" s="6"/>
      <c r="D37" s="6"/>
      <c r="E37" s="21"/>
      <c r="F37" s="21"/>
      <c r="G37" s="21"/>
      <c r="H37" s="21"/>
      <c r="I37" s="7"/>
      <c r="J37" s="7"/>
      <c r="K37" s="7"/>
      <c r="L37" s="7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1:50" s="3" customFormat="1" ht="34.5" hidden="1" customHeight="1" x14ac:dyDescent="0.45">
      <c r="A38" s="6"/>
      <c r="B38" s="6"/>
      <c r="C38" s="6"/>
      <c r="D38" s="6"/>
      <c r="E38" s="21"/>
      <c r="F38" s="21"/>
      <c r="G38" s="21"/>
      <c r="H38" s="21"/>
      <c r="I38" s="7"/>
      <c r="J38" s="7"/>
      <c r="K38" s="7"/>
      <c r="L38" s="7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1:50" s="3" customFormat="1" ht="32.25" hidden="1" customHeight="1" thickBot="1" x14ac:dyDescent="0.5">
      <c r="A39" s="6"/>
      <c r="B39" s="6"/>
      <c r="C39" s="6"/>
      <c r="D39" s="6"/>
      <c r="E39" s="21"/>
      <c r="F39" s="21"/>
      <c r="G39" s="21"/>
      <c r="H39" s="21"/>
      <c r="I39" s="7"/>
      <c r="J39" s="7"/>
      <c r="K39" s="7"/>
      <c r="L39" s="7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1:50" s="3" customFormat="1" ht="34.5" hidden="1" customHeight="1" x14ac:dyDescent="0.45">
      <c r="A40" s="6"/>
      <c r="B40" s="6"/>
      <c r="C40" s="6"/>
      <c r="D40" s="6"/>
      <c r="E40" s="21"/>
      <c r="F40" s="21"/>
      <c r="G40" s="21"/>
      <c r="H40" s="21"/>
      <c r="I40" s="7"/>
      <c r="J40" s="7"/>
      <c r="K40" s="7"/>
      <c r="L40" s="7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1:50" s="3" customFormat="1" ht="42.75" customHeight="1" x14ac:dyDescent="0.45">
      <c r="A41" s="263" t="s">
        <v>3</v>
      </c>
      <c r="B41" s="268" t="s">
        <v>4</v>
      </c>
      <c r="C41" s="268" t="s">
        <v>16</v>
      </c>
      <c r="D41" s="268" t="s">
        <v>17</v>
      </c>
      <c r="E41" s="271" t="s">
        <v>20</v>
      </c>
      <c r="F41" s="274" t="s">
        <v>5</v>
      </c>
      <c r="G41" s="274" t="s">
        <v>6</v>
      </c>
      <c r="H41" s="264" t="s">
        <v>14</v>
      </c>
      <c r="I41" s="269" t="s">
        <v>9</v>
      </c>
      <c r="J41" s="273" t="s">
        <v>36</v>
      </c>
      <c r="K41" s="266" t="s">
        <v>143</v>
      </c>
      <c r="L41" s="241" t="s">
        <v>137</v>
      </c>
      <c r="M41" s="247"/>
      <c r="N41" s="247"/>
      <c r="O41" s="247"/>
      <c r="P41" s="247"/>
      <c r="Q41" s="247"/>
      <c r="R41" s="248"/>
      <c r="S41" s="249"/>
      <c r="T41" s="249"/>
      <c r="U41" s="249"/>
      <c r="V41" s="249"/>
      <c r="W41" s="206"/>
      <c r="X41" s="250" t="s">
        <v>25</v>
      </c>
      <c r="Y41" s="261">
        <v>0.1</v>
      </c>
      <c r="Z41" s="136" t="s">
        <v>33</v>
      </c>
      <c r="AA41" s="137"/>
      <c r="AB41" s="243" t="s">
        <v>26</v>
      </c>
      <c r="AC41" s="243"/>
      <c r="AD41" s="254" t="s">
        <v>27</v>
      </c>
      <c r="AE41" s="255"/>
      <c r="AF41" s="256"/>
      <c r="AG41" s="245" t="s">
        <v>28</v>
      </c>
      <c r="AH41" s="257"/>
      <c r="AI41" s="258"/>
      <c r="AJ41" s="258"/>
      <c r="AK41" s="259"/>
      <c r="AL41" s="114"/>
      <c r="AM41" s="114"/>
      <c r="AN41" s="111" t="s">
        <v>7</v>
      </c>
      <c r="AO41" s="112"/>
      <c r="AP41" s="112"/>
      <c r="AQ41" s="112"/>
      <c r="AR41" s="112"/>
      <c r="AS41" s="112"/>
      <c r="AT41" s="112"/>
      <c r="AU41" s="200"/>
      <c r="AV41" s="200"/>
      <c r="AW41" s="113"/>
      <c r="AX41" s="233" t="s">
        <v>15</v>
      </c>
    </row>
    <row r="42" spans="1:50" s="3" customFormat="1" ht="171" customHeight="1" x14ac:dyDescent="0.45">
      <c r="A42" s="263"/>
      <c r="B42" s="268"/>
      <c r="C42" s="268"/>
      <c r="D42" s="268"/>
      <c r="E42" s="272"/>
      <c r="F42" s="274"/>
      <c r="G42" s="274"/>
      <c r="H42" s="265"/>
      <c r="I42" s="270"/>
      <c r="J42" s="272"/>
      <c r="K42" s="267"/>
      <c r="L42" s="242"/>
      <c r="M42" s="25" t="s">
        <v>11</v>
      </c>
      <c r="N42" s="25" t="s">
        <v>87</v>
      </c>
      <c r="O42" s="25" t="s">
        <v>12</v>
      </c>
      <c r="P42" s="25" t="s">
        <v>88</v>
      </c>
      <c r="Q42" s="25" t="s">
        <v>153</v>
      </c>
      <c r="R42" s="25" t="s">
        <v>154</v>
      </c>
      <c r="S42" s="25" t="s">
        <v>11</v>
      </c>
      <c r="T42" s="25" t="s">
        <v>89</v>
      </c>
      <c r="U42" s="25" t="s">
        <v>12</v>
      </c>
      <c r="V42" s="25" t="s">
        <v>90</v>
      </c>
      <c r="W42" s="25" t="s">
        <v>153</v>
      </c>
      <c r="X42" s="251"/>
      <c r="Y42" s="262"/>
      <c r="Z42" s="41" t="s">
        <v>34</v>
      </c>
      <c r="AA42" s="44" t="s">
        <v>35</v>
      </c>
      <c r="AB42" s="41" t="s">
        <v>29</v>
      </c>
      <c r="AC42" s="44" t="s">
        <v>30</v>
      </c>
      <c r="AD42" s="109" t="s">
        <v>70</v>
      </c>
      <c r="AE42" s="49" t="s">
        <v>31</v>
      </c>
      <c r="AF42" s="45" t="s">
        <v>32</v>
      </c>
      <c r="AG42" s="246"/>
      <c r="AH42" s="46" t="s">
        <v>37</v>
      </c>
      <c r="AI42" s="110" t="s">
        <v>71</v>
      </c>
      <c r="AJ42" s="50">
        <v>0.4</v>
      </c>
      <c r="AK42" s="50">
        <v>0.5</v>
      </c>
      <c r="AL42" s="115" t="s">
        <v>73</v>
      </c>
      <c r="AM42" s="115" t="s">
        <v>72</v>
      </c>
      <c r="AN42" s="235" t="s">
        <v>38</v>
      </c>
      <c r="AO42" s="240"/>
      <c r="AP42" s="47" t="s">
        <v>18</v>
      </c>
      <c r="AQ42" s="235" t="s">
        <v>39</v>
      </c>
      <c r="AR42" s="240"/>
      <c r="AS42" s="235" t="s">
        <v>138</v>
      </c>
      <c r="AT42" s="236"/>
      <c r="AU42" s="235" t="s">
        <v>147</v>
      </c>
      <c r="AV42" s="236"/>
      <c r="AW42" s="196" t="s">
        <v>13</v>
      </c>
      <c r="AX42" s="234"/>
    </row>
    <row r="43" spans="1:50" s="18" customFormat="1" ht="34.5" x14ac:dyDescent="0.2">
      <c r="A43" s="185">
        <v>1</v>
      </c>
      <c r="B43" s="118" t="s">
        <v>178</v>
      </c>
      <c r="C43" s="116" t="s">
        <v>75</v>
      </c>
      <c r="D43" s="116" t="s">
        <v>74</v>
      </c>
      <c r="E43" s="116" t="s">
        <v>84</v>
      </c>
      <c r="F43" s="29" t="s">
        <v>21</v>
      </c>
      <c r="G43" s="122">
        <v>5.2</v>
      </c>
      <c r="H43" s="124">
        <v>39</v>
      </c>
      <c r="I43" s="42">
        <f t="shared" ref="I43:I55" si="5">17697*G43</f>
        <v>92024.400000000009</v>
      </c>
      <c r="J43" s="42">
        <f t="shared" ref="J43:J55" si="6">I43*0.25</f>
        <v>23006.100000000002</v>
      </c>
      <c r="K43" s="42">
        <f t="shared" ref="K43:K55" si="7">(I43+J43)*1</f>
        <v>115030.50000000001</v>
      </c>
      <c r="L43" s="42">
        <f t="shared" ref="L43:L55" si="8">(I43+J43)*2</f>
        <v>230061.00000000003</v>
      </c>
      <c r="M43" s="26"/>
      <c r="N43" s="26"/>
      <c r="O43" s="126">
        <v>5</v>
      </c>
      <c r="P43" s="126"/>
      <c r="Q43" s="126">
        <v>2</v>
      </c>
      <c r="R43" s="40">
        <f t="shared" ref="R43" si="9">SUM(M43:Q43)</f>
        <v>7</v>
      </c>
      <c r="S43" s="34">
        <f t="shared" ref="S43" si="10">M43/16*L43</f>
        <v>0</v>
      </c>
      <c r="T43" s="34">
        <f t="shared" ref="T43" si="11">N43/16*L43</f>
        <v>0</v>
      </c>
      <c r="U43" s="34">
        <f t="shared" ref="U43" si="12">O43/16*L43</f>
        <v>71894.062500000015</v>
      </c>
      <c r="V43" s="34">
        <f t="shared" ref="V43" si="13">P43/16*L43</f>
        <v>0</v>
      </c>
      <c r="W43" s="34">
        <f t="shared" ref="W43" si="14">Q43/16*L43</f>
        <v>28757.625000000004</v>
      </c>
      <c r="X43" s="34">
        <f t="shared" ref="X43" si="15">SUM(S43:W43)</f>
        <v>100651.68750000001</v>
      </c>
      <c r="Y43" s="35">
        <f t="shared" ref="Y43" si="16">X43*0.1</f>
        <v>10065.168750000003</v>
      </c>
      <c r="Z43" s="26">
        <f t="shared" ref="Z43" si="17">SUM(N43+P43)</f>
        <v>0</v>
      </c>
      <c r="AA43" s="26">
        <f t="shared" ref="AA43" si="18">SUM(($I$35/16)*Z43)*0.4</f>
        <v>0</v>
      </c>
      <c r="AB43" s="26">
        <f t="shared" ref="AB43" si="19">SUM(R43)</f>
        <v>7</v>
      </c>
      <c r="AC43" s="42">
        <f t="shared" ref="AC43" si="20">L43*0.3/16*AB43</f>
        <v>30195.506250000002</v>
      </c>
      <c r="AD43" s="42">
        <f t="shared" ref="AD43" si="21">SUM(R43)</f>
        <v>7</v>
      </c>
      <c r="AE43" s="34">
        <v>35</v>
      </c>
      <c r="AF43" s="42">
        <f t="shared" ref="AF43" si="22">(L43*AE43/100)/16*AD43</f>
        <v>35228.090625000004</v>
      </c>
      <c r="AG43" s="42"/>
      <c r="AH43" s="127">
        <v>3.5</v>
      </c>
      <c r="AI43" s="131"/>
      <c r="AJ43" s="36">
        <f t="shared" ref="AJ43:AJ53" si="23">SUM(17697/16*0.4*AH43)</f>
        <v>1548.4875</v>
      </c>
      <c r="AK43" s="36">
        <f t="shared" ref="AK43:AK53" si="24">SUM(17697/16*0.5*AI43)</f>
        <v>0</v>
      </c>
      <c r="AL43" s="130"/>
      <c r="AM43" s="130"/>
      <c r="AN43" s="26">
        <f t="shared" ref="AN43:AN44" si="25">SUM($I$35*AL43)*0.5</f>
        <v>0</v>
      </c>
      <c r="AO43" s="26">
        <f t="shared" ref="AO43:AO44" si="26">SUM($I$35*AM43)*0.6</f>
        <v>0</v>
      </c>
      <c r="AP43" s="32"/>
      <c r="AQ43" s="32"/>
      <c r="AR43" s="26"/>
      <c r="AS43" s="26"/>
      <c r="AT43" s="195"/>
      <c r="AU43" s="202"/>
      <c r="AV43" s="36"/>
      <c r="AW43" s="198"/>
      <c r="AX43" s="37">
        <f t="shared" ref="AX43:AX61" si="27">X43+Y43+AA43+AC43+AF43+AG43+AJ43+AK43+AN43+AO43+AP43+AR43+AT43+AW43+AV43</f>
        <v>177688.94062500002</v>
      </c>
    </row>
    <row r="44" spans="1:50" s="24" customFormat="1" ht="34.5" x14ac:dyDescent="0.2">
      <c r="A44" s="224">
        <v>2</v>
      </c>
      <c r="B44" s="228" t="s">
        <v>179</v>
      </c>
      <c r="C44" s="116" t="s">
        <v>181</v>
      </c>
      <c r="D44" s="116" t="s">
        <v>180</v>
      </c>
      <c r="E44" s="116" t="s">
        <v>144</v>
      </c>
      <c r="F44" s="30" t="s">
        <v>23</v>
      </c>
      <c r="G44" s="123">
        <v>4.7300000000000004</v>
      </c>
      <c r="H44" s="116">
        <v>25.01</v>
      </c>
      <c r="I44" s="42">
        <f t="shared" si="5"/>
        <v>83706.810000000012</v>
      </c>
      <c r="J44" s="42">
        <f t="shared" si="6"/>
        <v>20926.702500000003</v>
      </c>
      <c r="K44" s="42">
        <f t="shared" si="7"/>
        <v>104633.51250000001</v>
      </c>
      <c r="L44" s="42">
        <f t="shared" si="8"/>
        <v>209267.02500000002</v>
      </c>
      <c r="M44" s="126">
        <v>3</v>
      </c>
      <c r="N44" s="126"/>
      <c r="O44" s="126"/>
      <c r="P44" s="126"/>
      <c r="Q44" s="126">
        <v>3</v>
      </c>
      <c r="R44" s="40">
        <f t="shared" ref="R44:R54" si="28">SUM(M44:Q44)</f>
        <v>6</v>
      </c>
      <c r="S44" s="34">
        <f t="shared" ref="S44" si="29">M44/16*L44</f>
        <v>39237.567187500004</v>
      </c>
      <c r="T44" s="34">
        <f t="shared" ref="T44:T55" si="30">N44/16*L44</f>
        <v>0</v>
      </c>
      <c r="U44" s="34">
        <f t="shared" ref="U44:U55" si="31">O44/16*L44</f>
        <v>0</v>
      </c>
      <c r="V44" s="34">
        <f t="shared" ref="V44:V53" si="32">P44/16*L44</f>
        <v>0</v>
      </c>
      <c r="W44" s="34">
        <f t="shared" ref="W44:W46" si="33">Q44/16*L44</f>
        <v>39237.567187500004</v>
      </c>
      <c r="X44" s="34">
        <f t="shared" ref="X44:X53" si="34">SUM(S44:W44)</f>
        <v>78475.134375000009</v>
      </c>
      <c r="Y44" s="35">
        <f t="shared" ref="Y44" si="35">X44*0.1</f>
        <v>7847.5134375000016</v>
      </c>
      <c r="Z44" s="26">
        <f t="shared" ref="Z44:Z45" si="36">SUM(N44+P44)</f>
        <v>0</v>
      </c>
      <c r="AA44" s="26">
        <f t="shared" ref="AA44" si="37">SUM(($I$35/16)*Z44)*0.4</f>
        <v>0</v>
      </c>
      <c r="AB44" s="26">
        <f t="shared" ref="AB44:AB53" si="38">SUM(R44)</f>
        <v>6</v>
      </c>
      <c r="AC44" s="42">
        <f t="shared" ref="AC44:AC55" si="39">L44*0.3/16*AB44</f>
        <v>23542.540312500001</v>
      </c>
      <c r="AD44" s="42">
        <f t="shared" ref="AD44:AD49" si="40">SUM(R44)</f>
        <v>6</v>
      </c>
      <c r="AE44" s="39"/>
      <c r="AF44" s="42">
        <f t="shared" ref="AF44" si="41">(L44*AE44/100)/16*AD44</f>
        <v>0</v>
      </c>
      <c r="AG44" s="43"/>
      <c r="AH44" s="128"/>
      <c r="AI44" s="132"/>
      <c r="AJ44" s="36"/>
      <c r="AK44" s="36"/>
      <c r="AL44" s="130"/>
      <c r="AM44" s="130">
        <v>0.5</v>
      </c>
      <c r="AN44" s="26">
        <f t="shared" si="25"/>
        <v>0</v>
      </c>
      <c r="AO44" s="26">
        <f t="shared" si="26"/>
        <v>5309.0999999999995</v>
      </c>
      <c r="AP44" s="33"/>
      <c r="AQ44" s="33"/>
      <c r="AR44" s="26"/>
      <c r="AS44" s="26"/>
      <c r="AT44" s="195"/>
      <c r="AU44" s="203"/>
      <c r="AV44" s="36">
        <f t="shared" ref="AV44" si="42">SUM($I$35*AU44)</f>
        <v>0</v>
      </c>
      <c r="AW44" s="199"/>
      <c r="AX44" s="37">
        <f t="shared" si="27"/>
        <v>115174.28812500002</v>
      </c>
    </row>
    <row r="45" spans="1:50" s="24" customFormat="1" ht="34.5" x14ac:dyDescent="0.2">
      <c r="A45" s="16">
        <v>3</v>
      </c>
      <c r="B45" s="118" t="s">
        <v>182</v>
      </c>
      <c r="C45" s="116" t="s">
        <v>76</v>
      </c>
      <c r="D45" s="116" t="s">
        <v>74</v>
      </c>
      <c r="E45" s="28" t="s">
        <v>86</v>
      </c>
      <c r="F45" s="30" t="s">
        <v>21</v>
      </c>
      <c r="G45" s="123">
        <v>5.03</v>
      </c>
      <c r="H45" s="116">
        <v>16</v>
      </c>
      <c r="I45" s="42">
        <f t="shared" si="5"/>
        <v>89015.91</v>
      </c>
      <c r="J45" s="42">
        <f t="shared" si="6"/>
        <v>22253.977500000001</v>
      </c>
      <c r="K45" s="42">
        <f t="shared" si="7"/>
        <v>111269.88750000001</v>
      </c>
      <c r="L45" s="42">
        <f t="shared" si="8"/>
        <v>222539.77500000002</v>
      </c>
      <c r="M45" s="126"/>
      <c r="N45" s="126"/>
      <c r="O45" s="126">
        <v>23</v>
      </c>
      <c r="P45" s="126">
        <v>2</v>
      </c>
      <c r="Q45" s="126"/>
      <c r="R45" s="40">
        <f t="shared" si="28"/>
        <v>25</v>
      </c>
      <c r="S45" s="34">
        <f t="shared" ref="S45:S61" si="43">M45/16*L45</f>
        <v>0</v>
      </c>
      <c r="T45" s="34">
        <f t="shared" si="30"/>
        <v>0</v>
      </c>
      <c r="U45" s="34">
        <f t="shared" si="31"/>
        <v>319900.92656250001</v>
      </c>
      <c r="V45" s="34">
        <f t="shared" si="32"/>
        <v>27817.471875000003</v>
      </c>
      <c r="W45" s="34">
        <f t="shared" si="33"/>
        <v>0</v>
      </c>
      <c r="X45" s="34">
        <f t="shared" si="34"/>
        <v>347718.3984375</v>
      </c>
      <c r="Y45" s="35">
        <f t="shared" ref="Y45:Y53" si="44">X45*0.1</f>
        <v>34771.83984375</v>
      </c>
      <c r="Z45" s="26">
        <f t="shared" si="36"/>
        <v>2</v>
      </c>
      <c r="AA45" s="26">
        <f>SUM(($I$35/16)*Z45)*0.4</f>
        <v>884.85</v>
      </c>
      <c r="AB45" s="26">
        <f t="shared" si="38"/>
        <v>25</v>
      </c>
      <c r="AC45" s="42">
        <f t="shared" si="39"/>
        <v>104315.51953125001</v>
      </c>
      <c r="AD45" s="42">
        <f t="shared" si="40"/>
        <v>25</v>
      </c>
      <c r="AE45" s="39">
        <v>35</v>
      </c>
      <c r="AF45" s="42">
        <f t="shared" ref="AF45:AF57" si="45">(L45*AE45/100)/16*AD45</f>
        <v>121701.43945312503</v>
      </c>
      <c r="AG45" s="43"/>
      <c r="AH45" s="128"/>
      <c r="AI45" s="132">
        <v>19</v>
      </c>
      <c r="AJ45" s="36">
        <f t="shared" si="23"/>
        <v>0</v>
      </c>
      <c r="AK45" s="36">
        <f t="shared" si="24"/>
        <v>10507.59375</v>
      </c>
      <c r="AL45" s="130"/>
      <c r="AM45" s="130"/>
      <c r="AN45" s="26">
        <f t="shared" ref="AN45" si="46">SUM($I$35*AL45)*0.5</f>
        <v>0</v>
      </c>
      <c r="AO45" s="26">
        <f t="shared" ref="AO45" si="47">SUM($I$35*AM45)*0.6</f>
        <v>0</v>
      </c>
      <c r="AP45" s="33"/>
      <c r="AQ45" s="33"/>
      <c r="AR45" s="26">
        <f>SUM($I$35*AQ45)</f>
        <v>0</v>
      </c>
      <c r="AS45" s="26"/>
      <c r="AT45" s="195">
        <f>SUM($I$35*AS45)</f>
        <v>0</v>
      </c>
      <c r="AU45" s="203"/>
      <c r="AV45" s="36">
        <f>SUM($I$35*AU45)</f>
        <v>0</v>
      </c>
      <c r="AW45" s="199"/>
      <c r="AX45" s="37">
        <f t="shared" si="27"/>
        <v>619899.64101562498</v>
      </c>
    </row>
    <row r="46" spans="1:50" s="24" customFormat="1" ht="34.5" x14ac:dyDescent="0.2">
      <c r="A46" s="16">
        <v>4</v>
      </c>
      <c r="B46" s="118" t="s">
        <v>183</v>
      </c>
      <c r="C46" s="116" t="s">
        <v>78</v>
      </c>
      <c r="D46" s="116" t="s">
        <v>10</v>
      </c>
      <c r="E46" s="28" t="s">
        <v>144</v>
      </c>
      <c r="F46" s="30" t="s">
        <v>23</v>
      </c>
      <c r="G46" s="123">
        <v>4.2699999999999996</v>
      </c>
      <c r="H46" s="116">
        <v>5</v>
      </c>
      <c r="I46" s="42">
        <f t="shared" si="5"/>
        <v>75566.189999999988</v>
      </c>
      <c r="J46" s="42">
        <f t="shared" si="6"/>
        <v>18891.547499999997</v>
      </c>
      <c r="K46" s="42">
        <f t="shared" si="7"/>
        <v>94457.737499999988</v>
      </c>
      <c r="L46" s="42">
        <f t="shared" si="8"/>
        <v>188915.47499999998</v>
      </c>
      <c r="M46" s="126">
        <v>8</v>
      </c>
      <c r="N46" s="126"/>
      <c r="O46" s="126"/>
      <c r="P46" s="126">
        <v>1</v>
      </c>
      <c r="Q46" s="126"/>
      <c r="R46" s="40">
        <f t="shared" si="28"/>
        <v>9</v>
      </c>
      <c r="S46" s="34">
        <f t="shared" si="43"/>
        <v>94457.737499999988</v>
      </c>
      <c r="T46" s="34">
        <f t="shared" si="30"/>
        <v>0</v>
      </c>
      <c r="U46" s="34">
        <f t="shared" si="31"/>
        <v>0</v>
      </c>
      <c r="V46" s="34">
        <f t="shared" si="32"/>
        <v>11807.217187499999</v>
      </c>
      <c r="W46" s="34">
        <f t="shared" si="33"/>
        <v>0</v>
      </c>
      <c r="X46" s="34">
        <f t="shared" ref="X46" si="48">SUM(S46:W46)</f>
        <v>106264.95468749999</v>
      </c>
      <c r="Y46" s="35">
        <f t="shared" ref="Y46" si="49">X46*0.1</f>
        <v>10626.495468749999</v>
      </c>
      <c r="Z46" s="26"/>
      <c r="AA46" s="26"/>
      <c r="AB46" s="26">
        <f t="shared" ref="AB46" si="50">SUM(R46)</f>
        <v>9</v>
      </c>
      <c r="AC46" s="42">
        <f t="shared" ref="AC46" si="51">L46*0.3/16*AB46</f>
        <v>31879.486406249998</v>
      </c>
      <c r="AD46" s="42">
        <f t="shared" ref="AD46" si="52">SUM(R46)</f>
        <v>9</v>
      </c>
      <c r="AE46" s="39"/>
      <c r="AF46" s="42">
        <f t="shared" si="45"/>
        <v>0</v>
      </c>
      <c r="AG46" s="43"/>
      <c r="AH46" s="128"/>
      <c r="AI46" s="132">
        <v>7.5</v>
      </c>
      <c r="AJ46" s="36"/>
      <c r="AK46" s="36">
        <f t="shared" si="24"/>
        <v>4147.734375</v>
      </c>
      <c r="AL46" s="130"/>
      <c r="AM46" s="130"/>
      <c r="AN46" s="26"/>
      <c r="AO46" s="26"/>
      <c r="AP46" s="33"/>
      <c r="AQ46" s="33"/>
      <c r="AR46" s="26"/>
      <c r="AS46" s="26"/>
      <c r="AT46" s="195"/>
      <c r="AU46" s="203"/>
      <c r="AV46" s="36">
        <f>SUM($I$35*AU46)</f>
        <v>0</v>
      </c>
      <c r="AW46" s="199"/>
      <c r="AX46" s="37">
        <f t="shared" si="27"/>
        <v>152918.67093749999</v>
      </c>
    </row>
    <row r="47" spans="1:50" s="24" customFormat="1" ht="34.5" x14ac:dyDescent="0.2">
      <c r="A47" s="16"/>
      <c r="B47" s="118" t="s">
        <v>141</v>
      </c>
      <c r="C47" s="116" t="s">
        <v>78</v>
      </c>
      <c r="D47" s="116" t="s">
        <v>74</v>
      </c>
      <c r="E47" s="28" t="s">
        <v>144</v>
      </c>
      <c r="F47" s="30" t="s">
        <v>23</v>
      </c>
      <c r="G47" s="123">
        <v>4.2699999999999996</v>
      </c>
      <c r="H47" s="116">
        <v>5</v>
      </c>
      <c r="I47" s="42">
        <f t="shared" ref="I47:I48" si="53">17697*G47</f>
        <v>75566.189999999988</v>
      </c>
      <c r="J47" s="42">
        <f t="shared" ref="J47:J48" si="54">I47*0.25</f>
        <v>18891.547499999997</v>
      </c>
      <c r="K47" s="42">
        <f t="shared" ref="K47:K48" si="55">(I47+J47)*1</f>
        <v>94457.737499999988</v>
      </c>
      <c r="L47" s="42">
        <f t="shared" ref="L47:L48" si="56">(I47+J47)*2</f>
        <v>188915.47499999998</v>
      </c>
      <c r="M47" s="126">
        <v>4</v>
      </c>
      <c r="N47" s="126"/>
      <c r="O47" s="126">
        <v>3</v>
      </c>
      <c r="P47" s="126"/>
      <c r="Q47" s="126"/>
      <c r="R47" s="40">
        <f t="shared" ref="R47:R48" si="57">SUM(M47:Q47)</f>
        <v>7</v>
      </c>
      <c r="S47" s="34">
        <f t="shared" ref="S47:S48" si="58">M47/16*L47</f>
        <v>47228.868749999994</v>
      </c>
      <c r="T47" s="34">
        <f t="shared" ref="T47:T48" si="59">N47/16*L47</f>
        <v>0</v>
      </c>
      <c r="U47" s="34">
        <f t="shared" ref="U47:U48" si="60">O47/16*L47</f>
        <v>35421.651562499996</v>
      </c>
      <c r="V47" s="34">
        <f t="shared" ref="V47:V48" si="61">P47/16*L47</f>
        <v>0</v>
      </c>
      <c r="W47" s="34">
        <f t="shared" ref="W47:W48" si="62">Q47/16*L47</f>
        <v>0</v>
      </c>
      <c r="X47" s="34">
        <f t="shared" ref="X47:X48" si="63">SUM(S47:W47)</f>
        <v>82650.520312499983</v>
      </c>
      <c r="Y47" s="35">
        <f t="shared" ref="Y47:Y48" si="64">X47*0.1</f>
        <v>8265.0520312499993</v>
      </c>
      <c r="Z47" s="26"/>
      <c r="AA47" s="26"/>
      <c r="AB47" s="26">
        <f t="shared" ref="AB47" si="65">SUM(R47)</f>
        <v>7</v>
      </c>
      <c r="AC47" s="42">
        <f t="shared" ref="AC47:AC48" si="66">L47*0.3/16*AB47</f>
        <v>24795.156093749996</v>
      </c>
      <c r="AD47" s="42">
        <f t="shared" ref="AD47" si="67">SUM(R47)</f>
        <v>7</v>
      </c>
      <c r="AE47" s="39"/>
      <c r="AF47" s="42">
        <f t="shared" ref="AF47:AF48" si="68">(L47*AE47/100)/16*AD47</f>
        <v>0</v>
      </c>
      <c r="AG47" s="43"/>
      <c r="AH47" s="128"/>
      <c r="AI47" s="132"/>
      <c r="AJ47" s="36"/>
      <c r="AK47" s="36">
        <f t="shared" ref="AK47" si="69">SUM(17697/16*0.5*AI47)</f>
        <v>0</v>
      </c>
      <c r="AL47" s="130"/>
      <c r="AM47" s="130"/>
      <c r="AN47" s="26"/>
      <c r="AO47" s="26"/>
      <c r="AP47" s="33"/>
      <c r="AQ47" s="33"/>
      <c r="AR47" s="26"/>
      <c r="AS47" s="26"/>
      <c r="AT47" s="195"/>
      <c r="AU47" s="203"/>
      <c r="AV47" s="36">
        <f>SUM($I$35*AU47)</f>
        <v>0</v>
      </c>
      <c r="AW47" s="199"/>
      <c r="AX47" s="37">
        <f t="shared" si="27"/>
        <v>115710.72843749999</v>
      </c>
    </row>
    <row r="48" spans="1:50" s="24" customFormat="1" ht="34.5" x14ac:dyDescent="0.2">
      <c r="A48" s="185">
        <v>5</v>
      </c>
      <c r="B48" s="118" t="s">
        <v>193</v>
      </c>
      <c r="C48" s="116" t="s">
        <v>78</v>
      </c>
      <c r="D48" s="116" t="s">
        <v>74</v>
      </c>
      <c r="E48" s="28" t="s">
        <v>194</v>
      </c>
      <c r="F48" s="30" t="s">
        <v>23</v>
      </c>
      <c r="G48" s="123">
        <v>4.59</v>
      </c>
      <c r="H48" s="116">
        <v>18.079999999999998</v>
      </c>
      <c r="I48" s="42">
        <f t="shared" si="53"/>
        <v>81229.23</v>
      </c>
      <c r="J48" s="42">
        <f t="shared" si="54"/>
        <v>20307.307499999999</v>
      </c>
      <c r="K48" s="42">
        <f t="shared" si="55"/>
        <v>101536.53749999999</v>
      </c>
      <c r="L48" s="42">
        <f t="shared" si="56"/>
        <v>203073.07499999998</v>
      </c>
      <c r="M48" s="126"/>
      <c r="N48" s="126"/>
      <c r="O48" s="126">
        <v>21</v>
      </c>
      <c r="P48" s="126"/>
      <c r="Q48" s="126">
        <v>3</v>
      </c>
      <c r="R48" s="40">
        <f t="shared" si="57"/>
        <v>24</v>
      </c>
      <c r="S48" s="34">
        <f t="shared" si="58"/>
        <v>0</v>
      </c>
      <c r="T48" s="34">
        <f t="shared" si="59"/>
        <v>0</v>
      </c>
      <c r="U48" s="34">
        <f t="shared" si="60"/>
        <v>266533.41093749995</v>
      </c>
      <c r="V48" s="34">
        <f t="shared" si="61"/>
        <v>0</v>
      </c>
      <c r="W48" s="34">
        <f t="shared" si="62"/>
        <v>38076.201562499999</v>
      </c>
      <c r="X48" s="34">
        <f t="shared" si="63"/>
        <v>304609.61249999993</v>
      </c>
      <c r="Y48" s="35">
        <f t="shared" si="64"/>
        <v>30460.961249999993</v>
      </c>
      <c r="Z48" s="26">
        <f t="shared" ref="Z48" si="70">SUM(N48+P48)</f>
        <v>0</v>
      </c>
      <c r="AA48" s="26">
        <f>SUM(($I$35/16)*Z48)*0.4</f>
        <v>0</v>
      </c>
      <c r="AB48" s="26">
        <f t="shared" ref="AB48" si="71">SUM(R48)</f>
        <v>24</v>
      </c>
      <c r="AC48" s="42">
        <f t="shared" si="66"/>
        <v>91382.883749999994</v>
      </c>
      <c r="AD48" s="42">
        <v>24</v>
      </c>
      <c r="AE48" s="39">
        <v>30</v>
      </c>
      <c r="AF48" s="42">
        <f t="shared" si="68"/>
        <v>91382.883749999994</v>
      </c>
      <c r="AG48" s="43"/>
      <c r="AH48" s="128"/>
      <c r="AI48" s="132">
        <v>12</v>
      </c>
      <c r="AJ48" s="36">
        <f t="shared" ref="AJ48" si="72">SUM(17697/16*0.4*AH48)</f>
        <v>0</v>
      </c>
      <c r="AK48" s="36">
        <f t="shared" ref="AK48" si="73">SUM(17697/16*0.5*AI48)</f>
        <v>6636.375</v>
      </c>
      <c r="AL48" s="130"/>
      <c r="AM48" s="130">
        <v>0.5</v>
      </c>
      <c r="AN48" s="26">
        <f t="shared" ref="AN48" si="74">SUM($I$35*AL48)*0.5</f>
        <v>0</v>
      </c>
      <c r="AO48" s="26">
        <f t="shared" ref="AO48" si="75">SUM($I$35*AM48)*0.6</f>
        <v>5309.0999999999995</v>
      </c>
      <c r="AP48" s="33"/>
      <c r="AQ48" s="33"/>
      <c r="AR48" s="26">
        <f t="shared" ref="AR48" si="76">SUM($I$35*AQ48)</f>
        <v>0</v>
      </c>
      <c r="AS48" s="26"/>
      <c r="AT48" s="195">
        <f t="shared" ref="AT48" si="77">SUM($I$35*AS48)</f>
        <v>0</v>
      </c>
      <c r="AU48" s="203"/>
      <c r="AV48" s="36">
        <f t="shared" ref="AV48" si="78">SUM($I$35*AU48)</f>
        <v>0</v>
      </c>
      <c r="AW48" s="199"/>
      <c r="AX48" s="37">
        <f t="shared" si="27"/>
        <v>529781.8162499998</v>
      </c>
    </row>
    <row r="49" spans="1:51" s="17" customFormat="1" ht="39" customHeight="1" x14ac:dyDescent="0.2">
      <c r="A49" s="185">
        <v>6</v>
      </c>
      <c r="B49" s="193" t="s">
        <v>145</v>
      </c>
      <c r="C49" s="116" t="s">
        <v>69</v>
      </c>
      <c r="D49" s="116" t="s">
        <v>79</v>
      </c>
      <c r="E49" s="28" t="s">
        <v>19</v>
      </c>
      <c r="F49" s="31" t="s">
        <v>23</v>
      </c>
      <c r="G49" s="122">
        <v>4.2300000000000004</v>
      </c>
      <c r="H49" s="116" t="s">
        <v>177</v>
      </c>
      <c r="I49" s="42">
        <f t="shared" si="5"/>
        <v>74858.310000000012</v>
      </c>
      <c r="J49" s="42">
        <f t="shared" si="6"/>
        <v>18714.577500000003</v>
      </c>
      <c r="K49" s="42">
        <f t="shared" si="7"/>
        <v>93572.887500000012</v>
      </c>
      <c r="L49" s="42">
        <f t="shared" si="8"/>
        <v>187145.77500000002</v>
      </c>
      <c r="M49" s="126"/>
      <c r="N49" s="126"/>
      <c r="O49" s="126">
        <v>11</v>
      </c>
      <c r="P49" s="126">
        <v>1</v>
      </c>
      <c r="Q49" s="126">
        <v>5</v>
      </c>
      <c r="R49" s="40">
        <f t="shared" si="28"/>
        <v>17</v>
      </c>
      <c r="S49" s="34">
        <f t="shared" si="43"/>
        <v>0</v>
      </c>
      <c r="T49" s="34">
        <f t="shared" si="30"/>
        <v>0</v>
      </c>
      <c r="U49" s="34">
        <f t="shared" si="31"/>
        <v>128662.72031250002</v>
      </c>
      <c r="V49" s="34">
        <f t="shared" si="32"/>
        <v>11696.610937500001</v>
      </c>
      <c r="W49" s="34">
        <f t="shared" ref="W49:W53" si="79">Q49/16*L49</f>
        <v>58483.054687500007</v>
      </c>
      <c r="X49" s="34">
        <f t="shared" si="34"/>
        <v>198842.38593750002</v>
      </c>
      <c r="Y49" s="35">
        <f t="shared" si="44"/>
        <v>19884.238593750004</v>
      </c>
      <c r="Z49" s="26">
        <f t="shared" ref="Z49:Z51" si="80">SUM(N49+P49)</f>
        <v>1</v>
      </c>
      <c r="AA49" s="26">
        <f t="shared" ref="AA49:AA51" si="81">SUM(($I$35/16)*Z49)*0.4</f>
        <v>442.42500000000001</v>
      </c>
      <c r="AB49" s="26">
        <f t="shared" si="38"/>
        <v>17</v>
      </c>
      <c r="AC49" s="42">
        <f t="shared" si="39"/>
        <v>59652.715781250008</v>
      </c>
      <c r="AD49" s="42">
        <f t="shared" si="40"/>
        <v>17</v>
      </c>
      <c r="AE49" s="34"/>
      <c r="AF49" s="42">
        <f t="shared" si="45"/>
        <v>0</v>
      </c>
      <c r="AG49" s="48"/>
      <c r="AH49" s="129">
        <v>8</v>
      </c>
      <c r="AI49" s="130"/>
      <c r="AJ49" s="36">
        <f t="shared" si="23"/>
        <v>3539.4</v>
      </c>
      <c r="AK49" s="36">
        <f t="shared" si="24"/>
        <v>0</v>
      </c>
      <c r="AL49" s="130"/>
      <c r="AM49" s="130">
        <v>1</v>
      </c>
      <c r="AN49" s="26">
        <f>SUM($I$35*AL49)*0.5</f>
        <v>0</v>
      </c>
      <c r="AO49" s="26">
        <f>SUM($I$35*AM49)*0.6</f>
        <v>10618.199999999999</v>
      </c>
      <c r="AP49" s="26"/>
      <c r="AQ49" s="26"/>
      <c r="AR49" s="26">
        <f>SUM($I$35*AQ49)</f>
        <v>0</v>
      </c>
      <c r="AS49" s="26"/>
      <c r="AT49" s="195">
        <f>SUM($I$35*AS49)</f>
        <v>0</v>
      </c>
      <c r="AU49" s="201"/>
      <c r="AV49" s="36">
        <f>SUM($I$35*AU49)</f>
        <v>0</v>
      </c>
      <c r="AW49" s="197"/>
      <c r="AX49" s="37">
        <f t="shared" si="27"/>
        <v>292979.36531250004</v>
      </c>
    </row>
    <row r="50" spans="1:51" s="17" customFormat="1" ht="39" customHeight="1" x14ac:dyDescent="0.2">
      <c r="A50" s="185"/>
      <c r="B50" s="193" t="s">
        <v>141</v>
      </c>
      <c r="C50" s="116" t="s">
        <v>174</v>
      </c>
      <c r="D50" s="116" t="s">
        <v>79</v>
      </c>
      <c r="E50" s="28" t="s">
        <v>19</v>
      </c>
      <c r="F50" s="31" t="s">
        <v>23</v>
      </c>
      <c r="G50" s="122">
        <v>4.2300000000000004</v>
      </c>
      <c r="H50" s="116">
        <v>5.08</v>
      </c>
      <c r="I50" s="42">
        <f t="shared" si="5"/>
        <v>74858.310000000012</v>
      </c>
      <c r="J50" s="42">
        <f t="shared" si="6"/>
        <v>18714.577500000003</v>
      </c>
      <c r="K50" s="42">
        <f t="shared" si="7"/>
        <v>93572.887500000012</v>
      </c>
      <c r="L50" s="42">
        <f t="shared" si="8"/>
        <v>187145.77500000002</v>
      </c>
      <c r="M50" s="126"/>
      <c r="N50" s="126"/>
      <c r="O50" s="126"/>
      <c r="P50" s="126"/>
      <c r="Q50" s="126">
        <v>1</v>
      </c>
      <c r="R50" s="40">
        <f t="shared" si="28"/>
        <v>1</v>
      </c>
      <c r="S50" s="34">
        <f t="shared" si="43"/>
        <v>0</v>
      </c>
      <c r="T50" s="34">
        <f t="shared" si="30"/>
        <v>0</v>
      </c>
      <c r="U50" s="34">
        <f t="shared" si="31"/>
        <v>0</v>
      </c>
      <c r="V50" s="34">
        <f t="shared" si="32"/>
        <v>0</v>
      </c>
      <c r="W50" s="34">
        <f t="shared" si="79"/>
        <v>11696.610937500001</v>
      </c>
      <c r="X50" s="34">
        <f t="shared" ref="X50" si="82">SUM(S50:W50)</f>
        <v>11696.610937500001</v>
      </c>
      <c r="Y50" s="35">
        <f t="shared" ref="Y50" si="83">X50*0.1</f>
        <v>1169.6610937500002</v>
      </c>
      <c r="Z50" s="26"/>
      <c r="AA50" s="26"/>
      <c r="AB50" s="26"/>
      <c r="AC50" s="42"/>
      <c r="AD50" s="42"/>
      <c r="AE50" s="34"/>
      <c r="AF50" s="42"/>
      <c r="AG50" s="48"/>
      <c r="AH50" s="129"/>
      <c r="AI50" s="130"/>
      <c r="AJ50" s="36"/>
      <c r="AK50" s="36"/>
      <c r="AL50" s="130"/>
      <c r="AM50" s="130"/>
      <c r="AN50" s="26"/>
      <c r="AO50" s="26"/>
      <c r="AP50" s="26"/>
      <c r="AQ50" s="26"/>
      <c r="AR50" s="26"/>
      <c r="AS50" s="26"/>
      <c r="AT50" s="195"/>
      <c r="AU50" s="201"/>
      <c r="AV50" s="36"/>
      <c r="AW50" s="197"/>
      <c r="AX50" s="37">
        <f t="shared" si="27"/>
        <v>12866.272031250002</v>
      </c>
    </row>
    <row r="51" spans="1:51" s="17" customFormat="1" ht="34.5" x14ac:dyDescent="0.2">
      <c r="A51" s="16">
        <v>7</v>
      </c>
      <c r="B51" s="194" t="s">
        <v>80</v>
      </c>
      <c r="C51" s="120" t="s">
        <v>76</v>
      </c>
      <c r="D51" s="120" t="s">
        <v>81</v>
      </c>
      <c r="E51" s="27" t="s">
        <v>82</v>
      </c>
      <c r="F51" s="31" t="s">
        <v>23</v>
      </c>
      <c r="G51" s="123">
        <v>4.33</v>
      </c>
      <c r="H51" s="120">
        <v>7.02</v>
      </c>
      <c r="I51" s="42">
        <f t="shared" si="5"/>
        <v>76628.009999999995</v>
      </c>
      <c r="J51" s="42">
        <f t="shared" si="6"/>
        <v>19157.002499999999</v>
      </c>
      <c r="K51" s="42">
        <f t="shared" si="7"/>
        <v>95785.012499999997</v>
      </c>
      <c r="L51" s="42">
        <f t="shared" si="8"/>
        <v>191570.02499999999</v>
      </c>
      <c r="M51" s="126"/>
      <c r="N51" s="126"/>
      <c r="O51" s="126">
        <v>20</v>
      </c>
      <c r="P51" s="126"/>
      <c r="Q51" s="126">
        <v>4</v>
      </c>
      <c r="R51" s="40">
        <f t="shared" si="28"/>
        <v>24</v>
      </c>
      <c r="S51" s="34">
        <f t="shared" si="43"/>
        <v>0</v>
      </c>
      <c r="T51" s="34">
        <f t="shared" si="30"/>
        <v>0</v>
      </c>
      <c r="U51" s="34">
        <f t="shared" si="31"/>
        <v>239462.53125</v>
      </c>
      <c r="V51" s="34">
        <f t="shared" si="32"/>
        <v>0</v>
      </c>
      <c r="W51" s="34">
        <f t="shared" si="79"/>
        <v>47892.506249999999</v>
      </c>
      <c r="X51" s="34">
        <f t="shared" si="34"/>
        <v>287355.03749999998</v>
      </c>
      <c r="Y51" s="35">
        <f t="shared" si="44"/>
        <v>28735.50375</v>
      </c>
      <c r="Z51" s="26">
        <f t="shared" si="80"/>
        <v>0</v>
      </c>
      <c r="AA51" s="26">
        <f t="shared" si="81"/>
        <v>0</v>
      </c>
      <c r="AB51" s="26">
        <f t="shared" si="38"/>
        <v>24</v>
      </c>
      <c r="AC51" s="42">
        <f t="shared" si="39"/>
        <v>86206.511249999996</v>
      </c>
      <c r="AD51" s="42">
        <f t="shared" ref="AD51:AD53" si="84">SUM(R51)</f>
        <v>24</v>
      </c>
      <c r="AE51" s="34">
        <v>30</v>
      </c>
      <c r="AF51" s="42">
        <f t="shared" si="45"/>
        <v>86206.511249999996</v>
      </c>
      <c r="AG51" s="48"/>
      <c r="AH51" s="129"/>
      <c r="AI51" s="130">
        <v>13</v>
      </c>
      <c r="AJ51" s="36">
        <f t="shared" si="23"/>
        <v>0</v>
      </c>
      <c r="AK51" s="36">
        <f t="shared" si="24"/>
        <v>7189.40625</v>
      </c>
      <c r="AL51" s="130"/>
      <c r="AM51" s="130">
        <v>1</v>
      </c>
      <c r="AN51" s="26">
        <f>SUM($I$35*AL51)*0.5</f>
        <v>0</v>
      </c>
      <c r="AO51" s="26">
        <f>SUM($I$35*AM51)*0.6</f>
        <v>10618.199999999999</v>
      </c>
      <c r="AP51" s="26"/>
      <c r="AQ51" s="26"/>
      <c r="AR51" s="26">
        <f>SUM($I$35*AQ51)</f>
        <v>0</v>
      </c>
      <c r="AS51" s="26"/>
      <c r="AT51" s="195">
        <f>SUM($I$35*AS51)</f>
        <v>0</v>
      </c>
      <c r="AU51" s="201"/>
      <c r="AV51" s="36">
        <f>SUM($I$35*AU51)</f>
        <v>0</v>
      </c>
      <c r="AW51" s="197"/>
      <c r="AX51" s="37">
        <f t="shared" si="27"/>
        <v>506311.16999999993</v>
      </c>
    </row>
    <row r="52" spans="1:51" s="17" customFormat="1" ht="34.5" x14ac:dyDescent="0.2">
      <c r="A52" s="16"/>
      <c r="B52" s="194" t="s">
        <v>141</v>
      </c>
      <c r="C52" s="120" t="s">
        <v>76</v>
      </c>
      <c r="D52" s="120" t="s">
        <v>81</v>
      </c>
      <c r="E52" s="27" t="s">
        <v>82</v>
      </c>
      <c r="F52" s="31" t="s">
        <v>23</v>
      </c>
      <c r="G52" s="123">
        <v>4.33</v>
      </c>
      <c r="H52" s="120">
        <v>7.02</v>
      </c>
      <c r="I52" s="42">
        <f t="shared" si="5"/>
        <v>76628.009999999995</v>
      </c>
      <c r="J52" s="42">
        <f t="shared" si="6"/>
        <v>19157.002499999999</v>
      </c>
      <c r="K52" s="42">
        <f t="shared" si="7"/>
        <v>95785.012499999997</v>
      </c>
      <c r="L52" s="42">
        <f t="shared" si="8"/>
        <v>191570.02499999999</v>
      </c>
      <c r="M52" s="126"/>
      <c r="N52" s="126"/>
      <c r="O52" s="126">
        <v>1</v>
      </c>
      <c r="P52" s="126"/>
      <c r="Q52" s="126"/>
      <c r="R52" s="40">
        <f t="shared" si="28"/>
        <v>1</v>
      </c>
      <c r="S52" s="34">
        <f t="shared" si="43"/>
        <v>0</v>
      </c>
      <c r="T52" s="34">
        <f t="shared" si="30"/>
        <v>0</v>
      </c>
      <c r="U52" s="34">
        <f t="shared" si="31"/>
        <v>11973.1265625</v>
      </c>
      <c r="V52" s="34">
        <f t="shared" si="32"/>
        <v>0</v>
      </c>
      <c r="W52" s="34">
        <f t="shared" ref="W52" si="85">Q52/16*L52</f>
        <v>0</v>
      </c>
      <c r="X52" s="34">
        <f t="shared" ref="X52" si="86">SUM(S52:W52)</f>
        <v>11973.1265625</v>
      </c>
      <c r="Y52" s="35">
        <f t="shared" ref="Y52" si="87">X52*0.1</f>
        <v>1197.3126562499999</v>
      </c>
      <c r="Z52" s="26"/>
      <c r="AA52" s="26"/>
      <c r="AB52" s="26">
        <v>1</v>
      </c>
      <c r="AC52" s="42">
        <f t="shared" si="39"/>
        <v>3591.93796875</v>
      </c>
      <c r="AD52" s="42">
        <v>1</v>
      </c>
      <c r="AE52" s="34">
        <v>30</v>
      </c>
      <c r="AF52" s="42">
        <f t="shared" si="45"/>
        <v>3591.93796875</v>
      </c>
      <c r="AG52" s="48"/>
      <c r="AH52" s="129"/>
      <c r="AI52" s="130"/>
      <c r="AJ52" s="36"/>
      <c r="AK52" s="36"/>
      <c r="AL52" s="130"/>
      <c r="AM52" s="130"/>
      <c r="AN52" s="26"/>
      <c r="AO52" s="26"/>
      <c r="AP52" s="26"/>
      <c r="AQ52" s="26"/>
      <c r="AR52" s="26"/>
      <c r="AS52" s="26"/>
      <c r="AT52" s="195"/>
      <c r="AU52" s="201"/>
      <c r="AV52" s="36"/>
      <c r="AW52" s="197"/>
      <c r="AX52" s="37">
        <f t="shared" si="27"/>
        <v>20354.315156249999</v>
      </c>
    </row>
    <row r="53" spans="1:51" s="17" customFormat="1" ht="34.5" x14ac:dyDescent="0.2">
      <c r="A53" s="185">
        <v>8</v>
      </c>
      <c r="B53" s="118" t="s">
        <v>140</v>
      </c>
      <c r="C53" s="121" t="s">
        <v>75</v>
      </c>
      <c r="D53" s="116" t="s">
        <v>74</v>
      </c>
      <c r="E53" s="27" t="s">
        <v>85</v>
      </c>
      <c r="F53" s="108" t="s">
        <v>21</v>
      </c>
      <c r="G53" s="123">
        <v>4.95</v>
      </c>
      <c r="H53" s="116">
        <v>16.09</v>
      </c>
      <c r="I53" s="42">
        <f t="shared" si="5"/>
        <v>87600.150000000009</v>
      </c>
      <c r="J53" s="42">
        <f t="shared" si="6"/>
        <v>21900.037500000002</v>
      </c>
      <c r="K53" s="42">
        <f t="shared" si="7"/>
        <v>109500.18750000001</v>
      </c>
      <c r="L53" s="42">
        <f t="shared" si="8"/>
        <v>219000.37500000003</v>
      </c>
      <c r="M53" s="26"/>
      <c r="N53" s="26"/>
      <c r="O53" s="26">
        <v>10</v>
      </c>
      <c r="P53" s="26"/>
      <c r="Q53" s="26">
        <v>6</v>
      </c>
      <c r="R53" s="40">
        <f t="shared" si="28"/>
        <v>16</v>
      </c>
      <c r="S53" s="34">
        <f t="shared" si="43"/>
        <v>0</v>
      </c>
      <c r="T53" s="34">
        <f t="shared" si="30"/>
        <v>0</v>
      </c>
      <c r="U53" s="34">
        <f t="shared" si="31"/>
        <v>136875.23437500003</v>
      </c>
      <c r="V53" s="34">
        <f t="shared" si="32"/>
        <v>0</v>
      </c>
      <c r="W53" s="34">
        <f t="shared" si="79"/>
        <v>82125.140625000015</v>
      </c>
      <c r="X53" s="34">
        <f t="shared" si="34"/>
        <v>219000.37500000006</v>
      </c>
      <c r="Y53" s="35">
        <f t="shared" si="44"/>
        <v>21900.037500000006</v>
      </c>
      <c r="Z53" s="26">
        <f>SUM(N53+P53)</f>
        <v>0</v>
      </c>
      <c r="AA53" s="26">
        <f t="shared" ref="AA53:AA57" si="88">SUM(($I$35/16)*Z53)*0.4</f>
        <v>0</v>
      </c>
      <c r="AB53" s="26">
        <f t="shared" si="38"/>
        <v>16</v>
      </c>
      <c r="AC53" s="42">
        <f t="shared" si="39"/>
        <v>65700.112500000003</v>
      </c>
      <c r="AD53" s="42">
        <f t="shared" si="84"/>
        <v>16</v>
      </c>
      <c r="AE53" s="34">
        <v>40</v>
      </c>
      <c r="AF53" s="42">
        <f t="shared" si="45"/>
        <v>87600.150000000023</v>
      </c>
      <c r="AG53" s="48"/>
      <c r="AH53" s="129">
        <v>18</v>
      </c>
      <c r="AI53" s="26"/>
      <c r="AJ53" s="36">
        <f t="shared" si="23"/>
        <v>7963.6500000000005</v>
      </c>
      <c r="AK53" s="36">
        <f t="shared" si="24"/>
        <v>0</v>
      </c>
      <c r="AL53" s="130"/>
      <c r="AM53" s="130"/>
      <c r="AN53" s="26">
        <f t="shared" ref="AN53" si="89">SUM($I$35*AL53)*0.5</f>
        <v>0</v>
      </c>
      <c r="AO53" s="26">
        <f t="shared" ref="AO53" si="90">SUM($I$35*AM53)*0.6</f>
        <v>0</v>
      </c>
      <c r="AP53" s="26"/>
      <c r="AQ53" s="26"/>
      <c r="AR53" s="26">
        <f t="shared" ref="AR53" si="91">SUM($I$35*AQ53)</f>
        <v>0</v>
      </c>
      <c r="AS53" s="26"/>
      <c r="AT53" s="195">
        <f t="shared" ref="AT53" si="92">SUM($I$35*AS53)</f>
        <v>0</v>
      </c>
      <c r="AU53" s="201">
        <v>1</v>
      </c>
      <c r="AV53" s="36">
        <f t="shared" ref="AV53" si="93">SUM($I$35*AU53)</f>
        <v>17697</v>
      </c>
      <c r="AW53" s="197"/>
      <c r="AX53" s="37">
        <f t="shared" si="27"/>
        <v>419861.32500000013</v>
      </c>
    </row>
    <row r="54" spans="1:51" s="17" customFormat="1" ht="34.5" x14ac:dyDescent="0.2">
      <c r="A54" s="185"/>
      <c r="B54" s="229" t="s">
        <v>141</v>
      </c>
      <c r="C54" s="121" t="s">
        <v>75</v>
      </c>
      <c r="D54" s="116" t="s">
        <v>74</v>
      </c>
      <c r="E54" s="27" t="s">
        <v>85</v>
      </c>
      <c r="F54" s="108" t="s">
        <v>21</v>
      </c>
      <c r="G54" s="123">
        <v>4.95</v>
      </c>
      <c r="H54" s="116">
        <v>16.09</v>
      </c>
      <c r="I54" s="42">
        <f t="shared" si="5"/>
        <v>87600.150000000009</v>
      </c>
      <c r="J54" s="42">
        <f t="shared" si="6"/>
        <v>21900.037500000002</v>
      </c>
      <c r="K54" s="42">
        <f t="shared" si="7"/>
        <v>109500.18750000001</v>
      </c>
      <c r="L54" s="42">
        <f t="shared" si="8"/>
        <v>219000.37500000003</v>
      </c>
      <c r="M54" s="26"/>
      <c r="N54" s="26"/>
      <c r="O54" s="26">
        <v>5</v>
      </c>
      <c r="P54" s="26"/>
      <c r="Q54" s="26"/>
      <c r="R54" s="40">
        <f t="shared" si="28"/>
        <v>5</v>
      </c>
      <c r="S54" s="34">
        <f t="shared" si="43"/>
        <v>0</v>
      </c>
      <c r="T54" s="34">
        <f t="shared" si="30"/>
        <v>0</v>
      </c>
      <c r="U54" s="34">
        <f t="shared" si="31"/>
        <v>68437.617187500015</v>
      </c>
      <c r="V54" s="34"/>
      <c r="W54" s="34">
        <f t="shared" ref="W54:W55" si="94">Q54/16*L54</f>
        <v>0</v>
      </c>
      <c r="X54" s="34">
        <f t="shared" ref="X54:X55" si="95">SUM(S54:W54)</f>
        <v>68437.617187500015</v>
      </c>
      <c r="Y54" s="35">
        <f t="shared" ref="Y54:Y55" si="96">X54*0.1</f>
        <v>6843.7617187500018</v>
      </c>
      <c r="Z54" s="26">
        <f t="shared" ref="Z54:Z57" si="97">SUM(N54+P54)</f>
        <v>0</v>
      </c>
      <c r="AA54" s="26">
        <f t="shared" si="88"/>
        <v>0</v>
      </c>
      <c r="AB54" s="26"/>
      <c r="AC54" s="42">
        <f t="shared" si="39"/>
        <v>0</v>
      </c>
      <c r="AD54" s="42">
        <f t="shared" ref="AD54" si="98">SUM(R54)</f>
        <v>5</v>
      </c>
      <c r="AE54" s="34">
        <v>40</v>
      </c>
      <c r="AF54" s="42">
        <f t="shared" si="45"/>
        <v>27375.046875000007</v>
      </c>
      <c r="AG54" s="48"/>
      <c r="AH54" s="129"/>
      <c r="AI54" s="26"/>
      <c r="AJ54" s="36"/>
      <c r="AK54" s="36"/>
      <c r="AL54" s="130"/>
      <c r="AM54" s="130"/>
      <c r="AN54" s="26"/>
      <c r="AO54" s="26"/>
      <c r="AP54" s="26"/>
      <c r="AQ54" s="26"/>
      <c r="AR54" s="26"/>
      <c r="AS54" s="26"/>
      <c r="AT54" s="195"/>
      <c r="AU54" s="201"/>
      <c r="AV54" s="36"/>
      <c r="AW54" s="197"/>
      <c r="AX54" s="37">
        <f t="shared" si="27"/>
        <v>102656.42578125003</v>
      </c>
    </row>
    <row r="55" spans="1:51" s="24" customFormat="1" ht="34.5" x14ac:dyDescent="0.2">
      <c r="A55" s="185">
        <v>9</v>
      </c>
      <c r="B55" s="118" t="s">
        <v>192</v>
      </c>
      <c r="C55" s="116" t="s">
        <v>76</v>
      </c>
      <c r="D55" s="116" t="s">
        <v>74</v>
      </c>
      <c r="E55" s="116" t="s">
        <v>144</v>
      </c>
      <c r="F55" s="30" t="s">
        <v>23</v>
      </c>
      <c r="G55" s="123">
        <v>4.1900000000000004</v>
      </c>
      <c r="H55" s="116">
        <v>2.06</v>
      </c>
      <c r="I55" s="42">
        <f t="shared" si="5"/>
        <v>74150.430000000008</v>
      </c>
      <c r="J55" s="42">
        <f t="shared" si="6"/>
        <v>18537.607500000002</v>
      </c>
      <c r="K55" s="42">
        <f t="shared" si="7"/>
        <v>92688.037500000006</v>
      </c>
      <c r="L55" s="42">
        <f t="shared" si="8"/>
        <v>185376.07500000001</v>
      </c>
      <c r="M55" s="126">
        <v>12</v>
      </c>
      <c r="N55" s="126"/>
      <c r="O55" s="126">
        <v>5</v>
      </c>
      <c r="P55" s="126"/>
      <c r="Q55" s="126"/>
      <c r="R55" s="40">
        <f t="shared" ref="R55" si="99">SUM(M55:Q55)</f>
        <v>17</v>
      </c>
      <c r="S55" s="34">
        <f t="shared" si="43"/>
        <v>139032.05625000002</v>
      </c>
      <c r="T55" s="34">
        <f t="shared" si="30"/>
        <v>0</v>
      </c>
      <c r="U55" s="34">
        <f t="shared" si="31"/>
        <v>57930.0234375</v>
      </c>
      <c r="V55" s="34">
        <f t="shared" ref="V55" si="100">P55/16*L55</f>
        <v>0</v>
      </c>
      <c r="W55" s="34">
        <f t="shared" si="94"/>
        <v>0</v>
      </c>
      <c r="X55" s="34">
        <f t="shared" si="95"/>
        <v>196962.07968750002</v>
      </c>
      <c r="Y55" s="35">
        <f t="shared" si="96"/>
        <v>19696.207968750005</v>
      </c>
      <c r="Z55" s="26">
        <f t="shared" ref="Z55" si="101">SUM(N55+P55)</f>
        <v>0</v>
      </c>
      <c r="AA55" s="26">
        <f t="shared" si="88"/>
        <v>0</v>
      </c>
      <c r="AB55" s="26">
        <f t="shared" ref="AB55" si="102">SUM(R55)</f>
        <v>17</v>
      </c>
      <c r="AC55" s="42">
        <f t="shared" si="39"/>
        <v>59088.623906250003</v>
      </c>
      <c r="AD55" s="42">
        <f t="shared" ref="AD55" si="103">SUM(R55)</f>
        <v>17</v>
      </c>
      <c r="AE55" s="39"/>
      <c r="AF55" s="42">
        <f t="shared" si="45"/>
        <v>0</v>
      </c>
      <c r="AG55" s="43"/>
      <c r="AH55" s="128"/>
      <c r="AI55" s="132">
        <v>11</v>
      </c>
      <c r="AJ55" s="36">
        <f t="shared" ref="AJ55" si="104">SUM(17697/16*0.4*AH55)</f>
        <v>0</v>
      </c>
      <c r="AK55" s="36">
        <f t="shared" ref="AK55" si="105">SUM(17697/16*0.5*AI55)</f>
        <v>6083.34375</v>
      </c>
      <c r="AL55" s="130"/>
      <c r="AM55" s="130">
        <v>1</v>
      </c>
      <c r="AN55" s="26">
        <f t="shared" ref="AN55" si="106">SUM($I$35*AL55)*0.5</f>
        <v>0</v>
      </c>
      <c r="AO55" s="26">
        <f t="shared" ref="AO55" si="107">SUM($I$35*AM55)*0.6</f>
        <v>10618.199999999999</v>
      </c>
      <c r="AP55" s="33"/>
      <c r="AQ55" s="33"/>
      <c r="AR55" s="26">
        <f t="shared" ref="AR55" si="108">SUM($I$35*AQ55)</f>
        <v>0</v>
      </c>
      <c r="AS55" s="26"/>
      <c r="AT55" s="195">
        <f t="shared" ref="AT55" si="109">SUM($I$35*AS55)</f>
        <v>0</v>
      </c>
      <c r="AU55" s="203"/>
      <c r="AV55" s="36">
        <f t="shared" ref="AV55" si="110">SUM($I$35*AU55)</f>
        <v>0</v>
      </c>
      <c r="AW55" s="199"/>
      <c r="AX55" s="37">
        <f t="shared" si="27"/>
        <v>292448.45531250007</v>
      </c>
    </row>
    <row r="56" spans="1:51" s="17" customFormat="1" ht="34.5" x14ac:dyDescent="0.2">
      <c r="A56" s="16">
        <v>10</v>
      </c>
      <c r="B56" s="229" t="s">
        <v>176</v>
      </c>
      <c r="C56" s="116" t="s">
        <v>75</v>
      </c>
      <c r="D56" s="116" t="s">
        <v>10</v>
      </c>
      <c r="E56" s="116" t="s">
        <v>84</v>
      </c>
      <c r="F56" s="29" t="s">
        <v>23</v>
      </c>
      <c r="G56" s="122">
        <v>4.49</v>
      </c>
      <c r="H56" s="116">
        <v>13.11</v>
      </c>
      <c r="I56" s="42">
        <f>17697*G56</f>
        <v>79459.53</v>
      </c>
      <c r="J56" s="42">
        <f>I56*0.25</f>
        <v>19864.8825</v>
      </c>
      <c r="K56" s="42">
        <f>(I56+J56)*1</f>
        <v>99324.412500000006</v>
      </c>
      <c r="L56" s="42">
        <f>(I56+J56)*2</f>
        <v>198648.82500000001</v>
      </c>
      <c r="M56" s="26"/>
      <c r="N56" s="26"/>
      <c r="O56" s="26">
        <v>10.5</v>
      </c>
      <c r="P56" s="26">
        <v>4</v>
      </c>
      <c r="Q56" s="26">
        <v>8</v>
      </c>
      <c r="R56" s="40">
        <f>SUM(M56:Q56)</f>
        <v>22.5</v>
      </c>
      <c r="S56" s="34">
        <f t="shared" si="43"/>
        <v>0</v>
      </c>
      <c r="T56" s="34">
        <f t="shared" ref="T56:T61" si="111">N56/16*L56</f>
        <v>0</v>
      </c>
      <c r="U56" s="34">
        <f t="shared" ref="U56:U61" si="112">O56/16*L56</f>
        <v>130363.29140625001</v>
      </c>
      <c r="V56" s="34">
        <f t="shared" ref="V56:V61" si="113">P56/16*L56</f>
        <v>49662.206250000003</v>
      </c>
      <c r="W56" s="34">
        <f>Q56/16*L56</f>
        <v>99324.412500000006</v>
      </c>
      <c r="X56" s="34">
        <f>SUM(S56:W56)</f>
        <v>279349.91015625</v>
      </c>
      <c r="Y56" s="35">
        <f>X56*0.1</f>
        <v>27934.991015625001</v>
      </c>
      <c r="Z56" s="26">
        <f t="shared" si="97"/>
        <v>4</v>
      </c>
      <c r="AA56" s="26">
        <f t="shared" si="88"/>
        <v>1769.7</v>
      </c>
      <c r="AB56" s="26">
        <f t="shared" ref="AB56" si="114">SUM(R56)</f>
        <v>22.5</v>
      </c>
      <c r="AC56" s="42">
        <f t="shared" ref="AC56:AC57" si="115">L56*0.3/16*AB56</f>
        <v>83804.973046875006</v>
      </c>
      <c r="AD56" s="42">
        <f t="shared" ref="AD56:AD57" si="116">SUM(R56)</f>
        <v>22.5</v>
      </c>
      <c r="AE56" s="34">
        <v>35</v>
      </c>
      <c r="AF56" s="42">
        <f t="shared" si="45"/>
        <v>97772.468554687497</v>
      </c>
      <c r="AG56" s="42"/>
      <c r="AH56" s="127">
        <v>13</v>
      </c>
      <c r="AI56" s="130"/>
      <c r="AJ56" s="36">
        <f>SUM(17697/16*0.4*AH56)</f>
        <v>5751.5250000000005</v>
      </c>
      <c r="AK56" s="36"/>
      <c r="AL56" s="130"/>
      <c r="AM56" s="130">
        <v>1</v>
      </c>
      <c r="AN56" s="26">
        <f>SUM($I$35*AL56)*0.5</f>
        <v>0</v>
      </c>
      <c r="AO56" s="26">
        <f>SUM($I$35*AM56)*0.6</f>
        <v>10618.199999999999</v>
      </c>
      <c r="AP56" s="26"/>
      <c r="AQ56" s="26"/>
      <c r="AR56" s="26"/>
      <c r="AS56" s="26"/>
      <c r="AT56" s="195"/>
      <c r="AU56" s="201"/>
      <c r="AV56" s="36"/>
      <c r="AW56" s="197"/>
      <c r="AX56" s="37">
        <f t="shared" si="27"/>
        <v>507001.76777343755</v>
      </c>
    </row>
    <row r="57" spans="1:51" s="24" customFormat="1" ht="34.5" x14ac:dyDescent="0.2">
      <c r="A57" s="16">
        <v>11</v>
      </c>
      <c r="B57" s="118" t="s">
        <v>77</v>
      </c>
      <c r="C57" s="116" t="s">
        <v>146</v>
      </c>
      <c r="D57" s="116" t="s">
        <v>74</v>
      </c>
      <c r="E57" s="28" t="s">
        <v>84</v>
      </c>
      <c r="F57" s="30" t="s">
        <v>22</v>
      </c>
      <c r="G57" s="123">
        <v>5.08</v>
      </c>
      <c r="H57" s="124">
        <v>24.05</v>
      </c>
      <c r="I57" s="42">
        <f t="shared" ref="I57:I61" si="117">17697*G57</f>
        <v>89900.76</v>
      </c>
      <c r="J57" s="42">
        <f t="shared" ref="J57:J61" si="118">I57*0.25</f>
        <v>22475.19</v>
      </c>
      <c r="K57" s="42">
        <f t="shared" ref="K57:K61" si="119">(I57+J57)*1</f>
        <v>112375.95</v>
      </c>
      <c r="L57" s="42">
        <f t="shared" ref="L57:L61" si="120">(I57+J57)*2</f>
        <v>224751.9</v>
      </c>
      <c r="M57" s="125">
        <v>16</v>
      </c>
      <c r="N57" s="125"/>
      <c r="O57" s="126"/>
      <c r="P57" s="126"/>
      <c r="Q57" s="126"/>
      <c r="R57" s="40">
        <f t="shared" ref="R57:R61" si="121">SUM(M57:Q57)</f>
        <v>16</v>
      </c>
      <c r="S57" s="34">
        <f t="shared" si="43"/>
        <v>224751.9</v>
      </c>
      <c r="T57" s="34">
        <f t="shared" si="111"/>
        <v>0</v>
      </c>
      <c r="U57" s="34">
        <f t="shared" si="112"/>
        <v>0</v>
      </c>
      <c r="V57" s="34">
        <f t="shared" si="113"/>
        <v>0</v>
      </c>
      <c r="W57" s="34">
        <f t="shared" ref="W57:W61" si="122">Q57/16*L57</f>
        <v>0</v>
      </c>
      <c r="X57" s="34">
        <f t="shared" ref="X57" si="123">SUM(S57:W57)</f>
        <v>224751.9</v>
      </c>
      <c r="Y57" s="35">
        <f t="shared" ref="Y57" si="124">X57*0.1</f>
        <v>22475.190000000002</v>
      </c>
      <c r="Z57" s="26">
        <f t="shared" si="97"/>
        <v>0</v>
      </c>
      <c r="AA57" s="26">
        <f t="shared" si="88"/>
        <v>0</v>
      </c>
      <c r="AB57" s="26">
        <f t="shared" ref="AB57" si="125">SUM(R57)</f>
        <v>16</v>
      </c>
      <c r="AC57" s="42">
        <f t="shared" si="115"/>
        <v>67425.569999999992</v>
      </c>
      <c r="AD57" s="42">
        <f t="shared" si="116"/>
        <v>16</v>
      </c>
      <c r="AE57" s="39">
        <v>35</v>
      </c>
      <c r="AF57" s="42">
        <f t="shared" si="45"/>
        <v>78663.164999999994</v>
      </c>
      <c r="AG57" s="43"/>
      <c r="AH57" s="128">
        <v>8</v>
      </c>
      <c r="AI57" s="132"/>
      <c r="AJ57" s="36">
        <f t="shared" ref="AJ57" si="126">SUM(17697/16*0.4*AH57)</f>
        <v>3539.4</v>
      </c>
      <c r="AK57" s="36">
        <f t="shared" ref="AK57" si="127">SUM(17697/16*0.5*AI57)</f>
        <v>0</v>
      </c>
      <c r="AL57" s="130">
        <v>0.5</v>
      </c>
      <c r="AM57" s="130"/>
      <c r="AN57" s="26">
        <f t="shared" ref="AN57" si="128">SUM($I$35*AL57)*0.5</f>
        <v>4424.25</v>
      </c>
      <c r="AO57" s="26">
        <f t="shared" ref="AO57" si="129">SUM($I$35*AM57)*0.6</f>
        <v>0</v>
      </c>
      <c r="AP57" s="33"/>
      <c r="AQ57" s="33"/>
      <c r="AR57" s="26">
        <f t="shared" ref="AR57" si="130">SUM($I$35*AQ57)</f>
        <v>0</v>
      </c>
      <c r="AS57" s="26"/>
      <c r="AT57" s="195">
        <f t="shared" ref="AT57" si="131">SUM($I$35*AS57)</f>
        <v>0</v>
      </c>
      <c r="AU57" s="203"/>
      <c r="AV57" s="36">
        <f t="shared" ref="AV57" si="132">SUM($I$35*AU57)</f>
        <v>0</v>
      </c>
      <c r="AW57" s="199"/>
      <c r="AX57" s="37">
        <f t="shared" si="27"/>
        <v>401279.47499999998</v>
      </c>
    </row>
    <row r="58" spans="1:51" s="24" customFormat="1" ht="34.5" x14ac:dyDescent="0.2">
      <c r="A58" s="16"/>
      <c r="B58" s="118" t="s">
        <v>141</v>
      </c>
      <c r="C58" s="116" t="s">
        <v>175</v>
      </c>
      <c r="D58" s="116" t="s">
        <v>74</v>
      </c>
      <c r="E58" s="28" t="s">
        <v>84</v>
      </c>
      <c r="F58" s="30" t="s">
        <v>22</v>
      </c>
      <c r="G58" s="123">
        <v>5.08</v>
      </c>
      <c r="H58" s="124">
        <v>24.05</v>
      </c>
      <c r="I58" s="42">
        <f t="shared" si="117"/>
        <v>89900.76</v>
      </c>
      <c r="J58" s="42">
        <f t="shared" si="118"/>
        <v>22475.19</v>
      </c>
      <c r="K58" s="42">
        <f t="shared" si="119"/>
        <v>112375.95</v>
      </c>
      <c r="L58" s="42">
        <f t="shared" si="120"/>
        <v>224751.9</v>
      </c>
      <c r="M58" s="125">
        <v>2</v>
      </c>
      <c r="N58" s="125"/>
      <c r="O58" s="126"/>
      <c r="P58" s="126"/>
      <c r="Q58" s="126"/>
      <c r="R58" s="40">
        <f t="shared" si="121"/>
        <v>2</v>
      </c>
      <c r="S58" s="34">
        <f t="shared" si="43"/>
        <v>28093.987499999999</v>
      </c>
      <c r="T58" s="34">
        <f t="shared" si="111"/>
        <v>0</v>
      </c>
      <c r="U58" s="34">
        <f t="shared" si="112"/>
        <v>0</v>
      </c>
      <c r="V58" s="34">
        <f t="shared" si="113"/>
        <v>0</v>
      </c>
      <c r="W58" s="34">
        <f t="shared" si="122"/>
        <v>0</v>
      </c>
      <c r="X58" s="34">
        <f t="shared" ref="X58" si="133">SUM(S58:W58)</f>
        <v>28093.987499999999</v>
      </c>
      <c r="Y58" s="35">
        <f t="shared" ref="Y58:Y61" si="134">X58*0.1</f>
        <v>2809.3987500000003</v>
      </c>
      <c r="Z58" s="26"/>
      <c r="AA58" s="26"/>
      <c r="AB58" s="26">
        <f t="shared" ref="AB58" si="135">SUM(R58)</f>
        <v>2</v>
      </c>
      <c r="AC58" s="42">
        <f t="shared" ref="AC58:AC61" si="136">L58*0.3/16*AB58</f>
        <v>8428.1962499999991</v>
      </c>
      <c r="AD58" s="42">
        <f t="shared" ref="AD58:AD61" si="137">SUM(R58)</f>
        <v>2</v>
      </c>
      <c r="AE58" s="39">
        <v>35</v>
      </c>
      <c r="AF58" s="42">
        <f t="shared" ref="AF58:AF61" si="138">(L58*AE58/100)/16*AD58</f>
        <v>9832.8956249999992</v>
      </c>
      <c r="AG58" s="43"/>
      <c r="AH58" s="128"/>
      <c r="AI58" s="132"/>
      <c r="AJ58" s="36"/>
      <c r="AK58" s="36"/>
      <c r="AL58" s="130"/>
      <c r="AM58" s="130"/>
      <c r="AN58" s="26"/>
      <c r="AO58" s="26"/>
      <c r="AP58" s="33"/>
      <c r="AQ58" s="33"/>
      <c r="AR58" s="26"/>
      <c r="AS58" s="26"/>
      <c r="AT58" s="195"/>
      <c r="AU58" s="203"/>
      <c r="AV58" s="36"/>
      <c r="AW58" s="199"/>
      <c r="AX58" s="37">
        <f t="shared" si="27"/>
        <v>49164.478124999994</v>
      </c>
    </row>
    <row r="59" spans="1:51" s="24" customFormat="1" ht="34.5" x14ac:dyDescent="0.2">
      <c r="A59" s="16">
        <v>12</v>
      </c>
      <c r="B59" s="193" t="s">
        <v>195</v>
      </c>
      <c r="C59" s="116" t="s">
        <v>196</v>
      </c>
      <c r="D59" s="116" t="s">
        <v>74</v>
      </c>
      <c r="E59" s="28" t="s">
        <v>194</v>
      </c>
      <c r="F59" s="30" t="s">
        <v>23</v>
      </c>
      <c r="G59" s="122">
        <v>4.49</v>
      </c>
      <c r="H59" s="116">
        <v>14</v>
      </c>
      <c r="I59" s="42">
        <f t="shared" si="117"/>
        <v>79459.53</v>
      </c>
      <c r="J59" s="42">
        <f t="shared" si="118"/>
        <v>19864.8825</v>
      </c>
      <c r="K59" s="42">
        <f t="shared" si="119"/>
        <v>99324.412500000006</v>
      </c>
      <c r="L59" s="42">
        <f t="shared" si="120"/>
        <v>198648.82500000001</v>
      </c>
      <c r="M59" s="126"/>
      <c r="N59" s="126"/>
      <c r="O59" s="126">
        <v>16</v>
      </c>
      <c r="P59" s="126">
        <v>1</v>
      </c>
      <c r="Q59" s="126">
        <v>8</v>
      </c>
      <c r="R59" s="40">
        <f t="shared" si="121"/>
        <v>25</v>
      </c>
      <c r="S59" s="34">
        <f t="shared" si="43"/>
        <v>0</v>
      </c>
      <c r="T59" s="34">
        <f t="shared" si="111"/>
        <v>0</v>
      </c>
      <c r="U59" s="34">
        <f t="shared" si="112"/>
        <v>198648.82500000001</v>
      </c>
      <c r="V59" s="34">
        <f t="shared" si="113"/>
        <v>12415.551562500001</v>
      </c>
      <c r="W59" s="34">
        <f t="shared" si="122"/>
        <v>99324.412500000006</v>
      </c>
      <c r="X59" s="34">
        <f t="shared" ref="X59:X60" si="139">SUM(S59:W59)</f>
        <v>310388.7890625</v>
      </c>
      <c r="Y59" s="35">
        <f t="shared" si="134"/>
        <v>31038.87890625</v>
      </c>
      <c r="Z59" s="26">
        <f t="shared" ref="Z59" si="140">SUM(N59+P59)</f>
        <v>1</v>
      </c>
      <c r="AA59" s="26">
        <f t="shared" ref="AA59" si="141">SUM(($I$35/16)*Z59)*0.4</f>
        <v>442.42500000000001</v>
      </c>
      <c r="AB59" s="26">
        <f t="shared" ref="AB59:AB61" si="142">SUM(R59)</f>
        <v>25</v>
      </c>
      <c r="AC59" s="42">
        <f t="shared" si="136"/>
        <v>93116.63671875</v>
      </c>
      <c r="AD59" s="42">
        <f t="shared" si="137"/>
        <v>25</v>
      </c>
      <c r="AE59" s="39">
        <v>30</v>
      </c>
      <c r="AF59" s="42">
        <f t="shared" si="138"/>
        <v>93116.63671875</v>
      </c>
      <c r="AG59" s="43"/>
      <c r="AH59" s="128"/>
      <c r="AI59" s="132"/>
      <c r="AJ59" s="36">
        <f t="shared" ref="AJ59:AJ60" si="143">SUM(17697/16*0.4*AH59)</f>
        <v>0</v>
      </c>
      <c r="AK59" s="36">
        <f t="shared" ref="AK59:AK60" si="144">SUM(17697/16*0.5*AI59)</f>
        <v>0</v>
      </c>
      <c r="AL59" s="130"/>
      <c r="AM59" s="130"/>
      <c r="AN59" s="26">
        <f>SUM($I$35*AL59)*0.5</f>
        <v>0</v>
      </c>
      <c r="AO59" s="26">
        <f>SUM($I$35*AM59)*0.6</f>
        <v>0</v>
      </c>
      <c r="AP59" s="33"/>
      <c r="AQ59" s="33"/>
      <c r="AR59" s="26">
        <f>SUM($I$35*AQ59)</f>
        <v>0</v>
      </c>
      <c r="AS59" s="26"/>
      <c r="AT59" s="195">
        <f>SUM($I$35*AS59)</f>
        <v>0</v>
      </c>
      <c r="AU59" s="203"/>
      <c r="AV59" s="36">
        <f>SUM($I$35*AU59)</f>
        <v>0</v>
      </c>
      <c r="AW59" s="199"/>
      <c r="AX59" s="37">
        <f t="shared" si="27"/>
        <v>528103.36640625005</v>
      </c>
    </row>
    <row r="60" spans="1:51" s="24" customFormat="1" ht="34.5" x14ac:dyDescent="0.2">
      <c r="A60" s="185">
        <v>13</v>
      </c>
      <c r="B60" s="230" t="s">
        <v>197</v>
      </c>
      <c r="C60" s="120" t="s">
        <v>202</v>
      </c>
      <c r="D60" s="120" t="s">
        <v>74</v>
      </c>
      <c r="E60" s="28" t="s">
        <v>198</v>
      </c>
      <c r="F60" s="30" t="s">
        <v>23</v>
      </c>
      <c r="G60" s="122">
        <v>4.67</v>
      </c>
      <c r="H60" s="226">
        <v>23.03</v>
      </c>
      <c r="I60" s="42">
        <f t="shared" si="117"/>
        <v>82644.990000000005</v>
      </c>
      <c r="J60" s="42">
        <f t="shared" si="118"/>
        <v>20661.247500000001</v>
      </c>
      <c r="K60" s="42">
        <f t="shared" si="119"/>
        <v>103306.2375</v>
      </c>
      <c r="L60" s="42">
        <f t="shared" si="120"/>
        <v>206612.47500000001</v>
      </c>
      <c r="M60" s="126"/>
      <c r="N60" s="126"/>
      <c r="O60" s="126">
        <v>18</v>
      </c>
      <c r="P60" s="126">
        <v>1</v>
      </c>
      <c r="Q60" s="126">
        <v>2</v>
      </c>
      <c r="R60" s="40">
        <f t="shared" si="121"/>
        <v>21</v>
      </c>
      <c r="S60" s="34">
        <f t="shared" si="43"/>
        <v>0</v>
      </c>
      <c r="T60" s="34">
        <f t="shared" si="111"/>
        <v>0</v>
      </c>
      <c r="U60" s="34">
        <f t="shared" si="112"/>
        <v>232439.03437500002</v>
      </c>
      <c r="V60" s="34">
        <f t="shared" si="113"/>
        <v>12913.2796875</v>
      </c>
      <c r="W60" s="34">
        <f t="shared" si="122"/>
        <v>25826.559375000001</v>
      </c>
      <c r="X60" s="34">
        <f t="shared" si="139"/>
        <v>271178.87343750003</v>
      </c>
      <c r="Y60" s="35">
        <f t="shared" si="134"/>
        <v>27117.887343750004</v>
      </c>
      <c r="Z60" s="26">
        <f t="shared" ref="Z60" si="145">SUM(N60+P60)</f>
        <v>1</v>
      </c>
      <c r="AA60" s="26">
        <f>SUM(($I$35/16)*Z60)*0.4</f>
        <v>442.42500000000001</v>
      </c>
      <c r="AB60" s="26">
        <f t="shared" si="142"/>
        <v>21</v>
      </c>
      <c r="AC60" s="42">
        <f t="shared" si="136"/>
        <v>81353.662031250002</v>
      </c>
      <c r="AD60" s="42">
        <f t="shared" si="137"/>
        <v>21</v>
      </c>
      <c r="AE60" s="39">
        <v>30</v>
      </c>
      <c r="AF60" s="42">
        <f t="shared" si="138"/>
        <v>81353.662031250002</v>
      </c>
      <c r="AG60" s="43"/>
      <c r="AH60" s="128"/>
      <c r="AI60" s="132">
        <v>10</v>
      </c>
      <c r="AJ60" s="36">
        <f t="shared" si="143"/>
        <v>0</v>
      </c>
      <c r="AK60" s="36">
        <f t="shared" si="144"/>
        <v>5530.3125</v>
      </c>
      <c r="AL60" s="130"/>
      <c r="AM60" s="130">
        <v>1</v>
      </c>
      <c r="AN60" s="26">
        <f>SUM($I$35*AL60)*0.5</f>
        <v>0</v>
      </c>
      <c r="AO60" s="26">
        <f>SUM($I$35*AM60)*0.6</f>
        <v>10618.199999999999</v>
      </c>
      <c r="AP60" s="33"/>
      <c r="AQ60" s="33"/>
      <c r="AR60" s="26">
        <f>SUM($I$35*AQ60)</f>
        <v>0</v>
      </c>
      <c r="AS60" s="26"/>
      <c r="AT60" s="195">
        <f>SUM($I$35*AS60)</f>
        <v>0</v>
      </c>
      <c r="AU60" s="203"/>
      <c r="AV60" s="36">
        <f>SUM($I$35*AU60)</f>
        <v>0</v>
      </c>
      <c r="AW60" s="199"/>
      <c r="AX60" s="37">
        <f t="shared" si="27"/>
        <v>477595.02234375005</v>
      </c>
    </row>
    <row r="61" spans="1:51" s="24" customFormat="1" ht="34.5" x14ac:dyDescent="0.2">
      <c r="A61" s="16">
        <v>14</v>
      </c>
      <c r="B61" s="118" t="s">
        <v>199</v>
      </c>
      <c r="C61" s="116" t="s">
        <v>200</v>
      </c>
      <c r="D61" s="116" t="s">
        <v>74</v>
      </c>
      <c r="E61" s="116" t="s">
        <v>201</v>
      </c>
      <c r="F61" s="30" t="s">
        <v>21</v>
      </c>
      <c r="G61" s="122">
        <v>5.2</v>
      </c>
      <c r="H61" s="116">
        <v>33.049999999999997</v>
      </c>
      <c r="I61" s="42">
        <f t="shared" si="117"/>
        <v>92024.400000000009</v>
      </c>
      <c r="J61" s="42">
        <f t="shared" si="118"/>
        <v>23006.100000000002</v>
      </c>
      <c r="K61" s="42">
        <f t="shared" si="119"/>
        <v>115030.50000000001</v>
      </c>
      <c r="L61" s="42">
        <f t="shared" si="120"/>
        <v>230061.00000000003</v>
      </c>
      <c r="M61" s="126">
        <v>6</v>
      </c>
      <c r="N61" s="126"/>
      <c r="O61" s="126">
        <v>9</v>
      </c>
      <c r="P61" s="126"/>
      <c r="Q61" s="126">
        <v>4</v>
      </c>
      <c r="R61" s="40">
        <f t="shared" si="121"/>
        <v>19</v>
      </c>
      <c r="S61" s="34">
        <f t="shared" si="43"/>
        <v>86272.875000000015</v>
      </c>
      <c r="T61" s="34">
        <f t="shared" si="111"/>
        <v>0</v>
      </c>
      <c r="U61" s="34">
        <f t="shared" si="112"/>
        <v>129409.31250000001</v>
      </c>
      <c r="V61" s="34">
        <f t="shared" si="113"/>
        <v>0</v>
      </c>
      <c r="W61" s="34">
        <f t="shared" si="122"/>
        <v>57515.250000000007</v>
      </c>
      <c r="X61" s="34">
        <f t="shared" ref="X61" si="146">SUM(S61:W61)</f>
        <v>273197.43750000006</v>
      </c>
      <c r="Y61" s="35">
        <f t="shared" si="134"/>
        <v>27319.743750000009</v>
      </c>
      <c r="Z61" s="26">
        <f t="shared" ref="Z61" si="147">SUM(N61+P61)</f>
        <v>0</v>
      </c>
      <c r="AA61" s="26">
        <f t="shared" ref="AA61" si="148">SUM(($I$35/16)*Z61)*0.4</f>
        <v>0</v>
      </c>
      <c r="AB61" s="26">
        <f t="shared" si="142"/>
        <v>19</v>
      </c>
      <c r="AC61" s="42">
        <f t="shared" si="136"/>
        <v>81959.231249999997</v>
      </c>
      <c r="AD61" s="42">
        <f t="shared" si="137"/>
        <v>19</v>
      </c>
      <c r="AE61" s="34">
        <v>30</v>
      </c>
      <c r="AF61" s="42">
        <f t="shared" si="138"/>
        <v>81959.231249999997</v>
      </c>
      <c r="AG61" s="43"/>
      <c r="AH61" s="128"/>
      <c r="AI61" s="132"/>
      <c r="AJ61" s="36">
        <f t="shared" ref="AJ61" si="149">SUM(17697/16*0.4*AH61)</f>
        <v>0</v>
      </c>
      <c r="AK61" s="36">
        <f t="shared" ref="AK61" si="150">SUM(17697/16*0.5*AI61)</f>
        <v>0</v>
      </c>
      <c r="AL61" s="130"/>
      <c r="AM61" s="130"/>
      <c r="AN61" s="26">
        <f t="shared" ref="AN61" si="151">SUM($I$35*AL61)*0.5</f>
        <v>0</v>
      </c>
      <c r="AO61" s="26">
        <f t="shared" ref="AO61" si="152">SUM($I$35*AM61)*0.6</f>
        <v>0</v>
      </c>
      <c r="AP61" s="33"/>
      <c r="AQ61" s="33">
        <v>10</v>
      </c>
      <c r="AR61" s="33">
        <f>SUM($AQ$35*AQ61)</f>
        <v>36920</v>
      </c>
      <c r="AS61" s="33"/>
      <c r="AT61" s="195">
        <f t="shared" ref="AT61" si="153">SUM($I$35*AS61)</f>
        <v>0</v>
      </c>
      <c r="AU61" s="203"/>
      <c r="AV61" s="36">
        <f t="shared" ref="AV61" si="154">SUM($I$35*AU61)</f>
        <v>0</v>
      </c>
      <c r="AW61" s="199"/>
      <c r="AX61" s="37">
        <f t="shared" si="27"/>
        <v>501355.6437500001</v>
      </c>
    </row>
    <row r="62" spans="1:51" s="14" customFormat="1" x14ac:dyDescent="0.25">
      <c r="A62" s="16"/>
      <c r="B62" s="40" t="s">
        <v>8</v>
      </c>
      <c r="C62" s="26"/>
      <c r="D62" s="26"/>
      <c r="E62" s="33"/>
      <c r="F62" s="31"/>
      <c r="G62" s="31"/>
      <c r="H62" s="38"/>
      <c r="I62" s="34">
        <f>SUM(I43:I61)</f>
        <v>1562822.07</v>
      </c>
      <c r="J62" s="34">
        <f t="shared" ref="J62:AX62" si="155">SUM(J43:J61)</f>
        <v>390705.51750000002</v>
      </c>
      <c r="K62" s="34">
        <f t="shared" si="155"/>
        <v>1953527.5875000001</v>
      </c>
      <c r="L62" s="34">
        <f t="shared" si="155"/>
        <v>3907055.1750000003</v>
      </c>
      <c r="M62" s="34">
        <f t="shared" si="155"/>
        <v>51</v>
      </c>
      <c r="N62" s="34">
        <f t="shared" si="155"/>
        <v>0</v>
      </c>
      <c r="O62" s="34">
        <f t="shared" si="155"/>
        <v>157.5</v>
      </c>
      <c r="P62" s="34">
        <f t="shared" si="155"/>
        <v>10</v>
      </c>
      <c r="Q62" s="34">
        <f t="shared" si="155"/>
        <v>46</v>
      </c>
      <c r="R62" s="34">
        <f t="shared" si="155"/>
        <v>264.5</v>
      </c>
      <c r="S62" s="34">
        <f t="shared" si="155"/>
        <v>659074.99218750012</v>
      </c>
      <c r="T62" s="34">
        <f t="shared" si="155"/>
        <v>0</v>
      </c>
      <c r="U62" s="34">
        <f t="shared" si="155"/>
        <v>2027951.7679687501</v>
      </c>
      <c r="V62" s="34">
        <f t="shared" si="155"/>
        <v>126312.33750000001</v>
      </c>
      <c r="W62" s="34">
        <f t="shared" si="155"/>
        <v>588259.34062499995</v>
      </c>
      <c r="X62" s="34">
        <f t="shared" si="155"/>
        <v>3401598.4382812493</v>
      </c>
      <c r="Y62" s="34">
        <f t="shared" si="155"/>
        <v>340159.84382812504</v>
      </c>
      <c r="Z62" s="34">
        <f t="shared" si="155"/>
        <v>9</v>
      </c>
      <c r="AA62" s="34">
        <f t="shared" si="155"/>
        <v>3981.8250000000007</v>
      </c>
      <c r="AB62" s="34">
        <f t="shared" si="155"/>
        <v>258.5</v>
      </c>
      <c r="AC62" s="34">
        <f t="shared" si="155"/>
        <v>996439.2630468749</v>
      </c>
      <c r="AD62" s="34">
        <f t="shared" si="155"/>
        <v>263.5</v>
      </c>
      <c r="AE62" s="34">
        <f t="shared" si="155"/>
        <v>435</v>
      </c>
      <c r="AF62" s="34">
        <f t="shared" si="155"/>
        <v>895784.11910156254</v>
      </c>
      <c r="AG62" s="34">
        <f t="shared" si="155"/>
        <v>0</v>
      </c>
      <c r="AH62" s="34">
        <f t="shared" si="155"/>
        <v>50.5</v>
      </c>
      <c r="AI62" s="34">
        <f t="shared" si="155"/>
        <v>72.5</v>
      </c>
      <c r="AJ62" s="34">
        <f t="shared" si="155"/>
        <v>22342.462500000001</v>
      </c>
      <c r="AK62" s="34">
        <f t="shared" si="155"/>
        <v>40094.765625</v>
      </c>
      <c r="AL62" s="34">
        <f t="shared" si="155"/>
        <v>0.5</v>
      </c>
      <c r="AM62" s="34">
        <f t="shared" si="155"/>
        <v>6</v>
      </c>
      <c r="AN62" s="34">
        <f t="shared" si="155"/>
        <v>4424.25</v>
      </c>
      <c r="AO62" s="34">
        <f t="shared" si="155"/>
        <v>63709.19999999999</v>
      </c>
      <c r="AP62" s="34">
        <f t="shared" si="155"/>
        <v>0</v>
      </c>
      <c r="AQ62" s="34">
        <f t="shared" si="155"/>
        <v>10</v>
      </c>
      <c r="AR62" s="34">
        <f t="shared" si="155"/>
        <v>36920</v>
      </c>
      <c r="AS62" s="34">
        <f t="shared" si="155"/>
        <v>0</v>
      </c>
      <c r="AT62" s="34">
        <f t="shared" si="155"/>
        <v>0</v>
      </c>
      <c r="AU62" s="34">
        <f t="shared" si="155"/>
        <v>1</v>
      </c>
      <c r="AV62" s="34">
        <f t="shared" si="155"/>
        <v>17697</v>
      </c>
      <c r="AW62" s="34">
        <f t="shared" si="155"/>
        <v>0</v>
      </c>
      <c r="AX62" s="34">
        <f t="shared" si="155"/>
        <v>5823151.1673828121</v>
      </c>
      <c r="AY62" s="34"/>
    </row>
    <row r="63" spans="1:51" s="3" customFormat="1" ht="33.75" customHeight="1" x14ac:dyDescent="0.45">
      <c r="A63" s="13"/>
      <c r="B63" s="145" t="s">
        <v>158</v>
      </c>
      <c r="C63" s="145"/>
      <c r="D63" s="145"/>
      <c r="E63" s="145" t="s">
        <v>169</v>
      </c>
      <c r="F63" s="145"/>
      <c r="G63" s="146"/>
      <c r="H63" s="145"/>
      <c r="I63" s="145"/>
      <c r="J63" s="145"/>
      <c r="K63" s="145"/>
      <c r="M63" s="145"/>
      <c r="N63" s="145"/>
      <c r="P63" s="145"/>
      <c r="Q63" s="145"/>
      <c r="W63" s="15"/>
      <c r="Y63" s="15"/>
      <c r="Z63" s="15"/>
      <c r="AA63" s="15"/>
      <c r="AB63" s="15"/>
      <c r="AD63" s="15"/>
      <c r="AE63" s="19"/>
      <c r="AF63" s="19"/>
      <c r="AG63" s="15"/>
      <c r="AH63" s="14"/>
      <c r="AI63" s="14"/>
      <c r="AJ63" s="15"/>
      <c r="AK63" s="15"/>
      <c r="AL63" s="15"/>
      <c r="AM63" s="15"/>
      <c r="AN63" s="15"/>
      <c r="AO63" s="51"/>
    </row>
    <row r="64" spans="1:51" s="3" customFormat="1" ht="34.5" hidden="1" x14ac:dyDescent="0.45">
      <c r="A64" s="6"/>
      <c r="B64" s="145" t="s">
        <v>159</v>
      </c>
      <c r="C64" s="145"/>
      <c r="D64" s="145"/>
      <c r="E64" s="207" t="s">
        <v>160</v>
      </c>
      <c r="F64" s="207"/>
      <c r="G64" s="146"/>
      <c r="H64" s="145"/>
      <c r="I64" s="145"/>
      <c r="J64" s="145" t="s">
        <v>161</v>
      </c>
      <c r="K64" s="145"/>
      <c r="L64" s="145" t="s">
        <v>166</v>
      </c>
      <c r="M64" s="145"/>
      <c r="N64" s="145"/>
      <c r="O64" s="145"/>
      <c r="P64" s="145"/>
      <c r="Q64" s="145"/>
      <c r="R64" s="144"/>
      <c r="S64" s="145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2"/>
      <c r="AF64" s="12"/>
      <c r="AG64" s="12"/>
      <c r="AH64" s="8"/>
      <c r="AI64" s="8"/>
      <c r="AJ64" s="11"/>
      <c r="AK64" s="11"/>
      <c r="AL64" s="11"/>
      <c r="AM64" s="11"/>
      <c r="AN64" s="11"/>
      <c r="AO64" s="11"/>
    </row>
    <row r="65" spans="1:41" ht="35.25" x14ac:dyDescent="0.5">
      <c r="A65" s="4"/>
      <c r="B65" s="145" t="s">
        <v>161</v>
      </c>
      <c r="C65" s="145"/>
      <c r="D65" s="145" t="s">
        <v>167</v>
      </c>
      <c r="E65" s="145"/>
      <c r="F65" s="23"/>
      <c r="G65" s="23"/>
      <c r="H65" s="23"/>
      <c r="I65" s="5"/>
      <c r="J65" s="15" t="s">
        <v>40</v>
      </c>
      <c r="K65" s="5"/>
      <c r="L65" s="5"/>
      <c r="M65" s="138" t="s">
        <v>83</v>
      </c>
      <c r="N65" s="4"/>
      <c r="O65" s="4"/>
      <c r="P65" s="4"/>
      <c r="Q65" s="4"/>
      <c r="R65" s="145" t="s">
        <v>162</v>
      </c>
      <c r="S65" s="145"/>
      <c r="T65" s="15"/>
      <c r="U65" s="207" t="s">
        <v>163</v>
      </c>
      <c r="V65" s="15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</row>
    <row r="66" spans="1:41" ht="35.25" x14ac:dyDescent="0.5">
      <c r="B66" s="4"/>
    </row>
  </sheetData>
  <mergeCells count="64">
    <mergeCell ref="G4:O4"/>
    <mergeCell ref="T4:V4"/>
    <mergeCell ref="AD22:AO22"/>
    <mergeCell ref="AD23:AO23"/>
    <mergeCell ref="AD24:AO24"/>
    <mergeCell ref="AD9:AO9"/>
    <mergeCell ref="AD10:AO10"/>
    <mergeCell ref="AD12:AO12"/>
    <mergeCell ref="AD15:AO15"/>
    <mergeCell ref="AD2:AO2"/>
    <mergeCell ref="AD3:AO3"/>
    <mergeCell ref="AD4:AO4"/>
    <mergeCell ref="AD5:AO5"/>
    <mergeCell ref="AD6:AO7"/>
    <mergeCell ref="AQ6:AQ7"/>
    <mergeCell ref="AR6:AR7"/>
    <mergeCell ref="AS6:AS7"/>
    <mergeCell ref="AB6:AB7"/>
    <mergeCell ref="AD21:AO21"/>
    <mergeCell ref="AD13:AO13"/>
    <mergeCell ref="AD16:AO16"/>
    <mergeCell ref="AD17:AO17"/>
    <mergeCell ref="AD18:AO18"/>
    <mergeCell ref="AD19:AO19"/>
    <mergeCell ref="AD20:AO20"/>
    <mergeCell ref="AD8:AO8"/>
    <mergeCell ref="AP6:AP7"/>
    <mergeCell ref="AD14:AO14"/>
    <mergeCell ref="AC6:AC7"/>
    <mergeCell ref="AD11:AO11"/>
    <mergeCell ref="A41:A42"/>
    <mergeCell ref="H41:H42"/>
    <mergeCell ref="K41:K42"/>
    <mergeCell ref="B41:B42"/>
    <mergeCell ref="C41:C42"/>
    <mergeCell ref="D41:D42"/>
    <mergeCell ref="I41:I42"/>
    <mergeCell ref="E41:E42"/>
    <mergeCell ref="J41:J42"/>
    <mergeCell ref="F41:F42"/>
    <mergeCell ref="G41:G42"/>
    <mergeCell ref="L41:L42"/>
    <mergeCell ref="AB41:AC41"/>
    <mergeCell ref="AD31:AO31"/>
    <mergeCell ref="AG41:AG42"/>
    <mergeCell ref="M41:R41"/>
    <mergeCell ref="S41:V41"/>
    <mergeCell ref="X41:X42"/>
    <mergeCell ref="AB32:AO32"/>
    <mergeCell ref="AD41:AF41"/>
    <mergeCell ref="AH41:AK41"/>
    <mergeCell ref="M33:R33"/>
    <mergeCell ref="AN42:AO42"/>
    <mergeCell ref="Y41:Y42"/>
    <mergeCell ref="AD25:AO25"/>
    <mergeCell ref="AX41:AX42"/>
    <mergeCell ref="AS42:AT42"/>
    <mergeCell ref="AD26:AO26"/>
    <mergeCell ref="AD27:AO27"/>
    <mergeCell ref="AD28:AO28"/>
    <mergeCell ref="AD29:AO29"/>
    <mergeCell ref="AD30:AO30"/>
    <mergeCell ref="AU42:AV42"/>
    <mergeCell ref="AQ42:AR42"/>
  </mergeCells>
  <phoneticPr fontId="20" type="noConversion"/>
  <pageMargins left="0.23622047244094491" right="0.23622047244094491" top="0.74803149606299213" bottom="0.74803149606299213" header="0.31496062992125984" footer="0.31496062992125984"/>
  <pageSetup paperSize="9" scale="25" firstPageNumber="0" orientation="landscape" horizontalDpi="300" verticalDpi="300" r:id="rId1"/>
  <headerFooter alignWithMargins="0"/>
  <colBreaks count="1" manualBreakCount="1">
    <brk id="33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37"/>
  <sheetViews>
    <sheetView view="pageBreakPreview" topLeftCell="A16" zoomScale="80" zoomScaleNormal="80" zoomScaleSheetLayoutView="80" workbookViewId="0">
      <selection activeCell="C24" sqref="C24"/>
    </sheetView>
  </sheetViews>
  <sheetFormatPr defaultRowHeight="15.75" x14ac:dyDescent="0.25"/>
  <cols>
    <col min="1" max="1" width="9.140625" style="140"/>
    <col min="2" max="2" width="38" style="140" customWidth="1"/>
    <col min="3" max="3" width="20.7109375" style="140" customWidth="1"/>
    <col min="4" max="4" width="12" style="140" customWidth="1"/>
    <col min="5" max="5" width="13.140625" style="140" customWidth="1"/>
    <col min="6" max="6" width="8.7109375" style="140" customWidth="1"/>
    <col min="7" max="7" width="13.7109375" style="140" customWidth="1"/>
    <col min="8" max="8" width="12.28515625" style="141" customWidth="1"/>
    <col min="9" max="9" width="7.85546875" style="140" customWidth="1"/>
    <col min="10" max="12" width="13.7109375" style="140" customWidth="1"/>
    <col min="13" max="13" width="10.5703125" style="140" bestFit="1" customWidth="1"/>
    <col min="14" max="14" width="13.5703125" style="140" customWidth="1"/>
    <col min="15" max="16" width="17.42578125" style="140" customWidth="1"/>
    <col min="17" max="17" width="12.5703125" style="140" customWidth="1"/>
    <col min="18" max="18" width="9.140625" style="140"/>
    <col min="19" max="19" width="11.5703125" style="140" customWidth="1"/>
    <col min="20" max="20" width="7" style="140" customWidth="1"/>
    <col min="21" max="21" width="11.85546875" style="140" customWidth="1"/>
    <col min="22" max="22" width="7.5703125" style="140" customWidth="1"/>
    <col min="23" max="23" width="11.42578125" style="140" customWidth="1"/>
    <col min="24" max="24" width="7.85546875" style="140" customWidth="1"/>
    <col min="25" max="25" width="12.140625" style="140" customWidth="1"/>
    <col min="26" max="26" width="7.7109375" style="140" customWidth="1"/>
    <col min="27" max="27" width="11.28515625" style="140" customWidth="1"/>
    <col min="28" max="28" width="7" style="140" customWidth="1"/>
    <col min="29" max="30" width="12.7109375" style="140" customWidth="1"/>
    <col min="31" max="31" width="15.7109375" style="140" customWidth="1"/>
    <col min="32" max="32" width="16.85546875" style="140" customWidth="1"/>
    <col min="33" max="33" width="17.5703125" style="140" customWidth="1"/>
    <col min="34" max="16384" width="9.140625" style="140"/>
  </cols>
  <sheetData>
    <row r="1" spans="1:33" ht="18.75" x14ac:dyDescent="0.3">
      <c r="A1" s="174"/>
      <c r="B1" s="321"/>
      <c r="C1" s="321"/>
      <c r="D1" s="177"/>
      <c r="E1" s="178" t="s">
        <v>136</v>
      </c>
      <c r="F1" s="178"/>
      <c r="G1" s="177"/>
      <c r="H1" s="181"/>
      <c r="I1" s="180"/>
      <c r="J1" s="177"/>
      <c r="K1" s="177"/>
      <c r="L1" s="177"/>
      <c r="M1" s="177"/>
      <c r="N1" s="177"/>
      <c r="O1" s="177" t="s">
        <v>135</v>
      </c>
      <c r="P1" s="177"/>
      <c r="Q1" s="177"/>
      <c r="R1" s="177"/>
      <c r="S1" s="177"/>
      <c r="T1" s="174"/>
      <c r="U1" s="174"/>
      <c r="V1" s="174"/>
      <c r="W1" s="173"/>
    </row>
    <row r="2" spans="1:33" ht="18.75" x14ac:dyDescent="0.3">
      <c r="A2" s="174"/>
      <c r="B2" s="321"/>
      <c r="C2" s="321"/>
      <c r="D2" s="177"/>
      <c r="E2" s="178"/>
      <c r="F2" s="178"/>
      <c r="G2" s="177"/>
      <c r="H2" s="181"/>
      <c r="I2" s="180"/>
      <c r="J2" s="177"/>
      <c r="K2" s="177"/>
      <c r="L2" s="177"/>
      <c r="M2" s="177"/>
      <c r="N2" s="177"/>
      <c r="O2" s="177" t="s">
        <v>134</v>
      </c>
      <c r="P2" s="177"/>
      <c r="Q2" s="177"/>
      <c r="R2" s="177"/>
      <c r="S2" s="177"/>
      <c r="T2" s="174"/>
      <c r="U2" s="174"/>
      <c r="V2" s="174"/>
      <c r="W2" s="173"/>
    </row>
    <row r="3" spans="1:33" ht="36" customHeight="1" x14ac:dyDescent="0.3">
      <c r="A3" s="174"/>
      <c r="B3" s="321"/>
      <c r="C3" s="321"/>
      <c r="D3" s="177"/>
      <c r="E3" s="296" t="s">
        <v>148</v>
      </c>
      <c r="F3" s="297"/>
      <c r="G3" s="297"/>
      <c r="H3" s="297"/>
      <c r="I3" s="297"/>
      <c r="J3" s="297"/>
      <c r="K3" s="297"/>
      <c r="L3" s="297"/>
      <c r="M3" s="297"/>
      <c r="N3" s="177"/>
      <c r="O3" s="177" t="s">
        <v>133</v>
      </c>
      <c r="P3" s="177"/>
      <c r="Q3" s="298"/>
      <c r="R3" s="298"/>
      <c r="S3" s="298"/>
      <c r="T3" s="184"/>
      <c r="U3" s="184"/>
      <c r="V3" s="184"/>
      <c r="W3" s="184"/>
    </row>
    <row r="4" spans="1:33" ht="18.75" x14ac:dyDescent="0.3">
      <c r="A4" s="174"/>
      <c r="B4" s="321"/>
      <c r="C4" s="321"/>
      <c r="D4" s="177"/>
      <c r="E4" s="178"/>
      <c r="F4" s="178"/>
      <c r="G4" s="177"/>
      <c r="H4" s="181"/>
      <c r="I4" s="180"/>
      <c r="J4" s="177"/>
      <c r="K4" s="177"/>
      <c r="L4" s="177"/>
      <c r="M4" s="177"/>
      <c r="N4" s="177"/>
      <c r="W4" s="173"/>
    </row>
    <row r="5" spans="1:33" ht="18.75" x14ac:dyDescent="0.3">
      <c r="A5" s="174"/>
      <c r="B5" s="321"/>
      <c r="C5" s="321"/>
      <c r="D5" s="177"/>
      <c r="E5" s="183" t="s">
        <v>132</v>
      </c>
      <c r="F5" s="182"/>
      <c r="G5" s="173"/>
      <c r="H5" s="178" t="s">
        <v>149</v>
      </c>
      <c r="I5" s="177"/>
      <c r="J5" s="177"/>
      <c r="K5" s="177"/>
      <c r="L5" s="177"/>
      <c r="M5" s="177"/>
      <c r="N5" s="177"/>
      <c r="O5" s="177" t="s">
        <v>131</v>
      </c>
      <c r="P5" s="177"/>
      <c r="Q5" s="177" t="s">
        <v>130</v>
      </c>
      <c r="R5" s="177" t="s">
        <v>169</v>
      </c>
      <c r="S5" s="177"/>
      <c r="T5" s="174"/>
      <c r="V5" s="173"/>
      <c r="W5" s="173"/>
    </row>
    <row r="6" spans="1:33" ht="18.75" x14ac:dyDescent="0.3">
      <c r="A6" s="174"/>
      <c r="B6" s="321"/>
      <c r="C6" s="321"/>
      <c r="D6" s="177"/>
      <c r="E6" s="178"/>
      <c r="F6" s="178"/>
      <c r="G6" s="177"/>
      <c r="H6" s="181"/>
      <c r="I6" s="180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4"/>
      <c r="U6" s="174"/>
      <c r="V6" s="174"/>
      <c r="W6" s="173"/>
    </row>
    <row r="7" spans="1:33" ht="18.75" x14ac:dyDescent="0.3">
      <c r="A7" s="174"/>
      <c r="B7" s="321"/>
      <c r="C7" s="321"/>
      <c r="D7" s="177"/>
      <c r="E7" s="178" t="s">
        <v>191</v>
      </c>
      <c r="F7" s="178"/>
      <c r="G7" s="177"/>
      <c r="H7" s="181"/>
      <c r="I7" s="180"/>
      <c r="J7" s="177"/>
      <c r="K7" s="177"/>
      <c r="L7" s="177"/>
      <c r="M7" s="177"/>
      <c r="N7" s="177"/>
      <c r="O7" s="177" t="s">
        <v>190</v>
      </c>
      <c r="P7" s="177"/>
      <c r="Q7" s="177"/>
      <c r="R7" s="177"/>
      <c r="S7" s="177"/>
      <c r="T7" s="174"/>
      <c r="U7" s="174"/>
      <c r="V7" s="174"/>
      <c r="W7" s="173"/>
    </row>
    <row r="8" spans="1:33" ht="18.75" x14ac:dyDescent="0.3">
      <c r="A8" s="174"/>
      <c r="B8" s="321"/>
      <c r="C8" s="321"/>
      <c r="D8" s="174"/>
      <c r="E8" s="174"/>
      <c r="F8" s="174"/>
      <c r="G8" s="174"/>
      <c r="H8" s="176"/>
      <c r="I8" s="175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3"/>
    </row>
    <row r="9" spans="1:33" ht="18.75" x14ac:dyDescent="0.3">
      <c r="A9" s="174"/>
      <c r="B9" s="179"/>
      <c r="C9" s="179"/>
      <c r="D9" s="174"/>
      <c r="E9" s="174"/>
      <c r="F9" s="174"/>
      <c r="G9" s="174"/>
      <c r="H9" s="181" t="s">
        <v>129</v>
      </c>
      <c r="I9" s="180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3"/>
    </row>
    <row r="10" spans="1:33" ht="18.75" x14ac:dyDescent="0.3">
      <c r="A10" s="174"/>
      <c r="B10" s="178" t="s">
        <v>128</v>
      </c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3"/>
      <c r="O10" s="173"/>
      <c r="P10" s="173"/>
      <c r="Q10" s="173"/>
      <c r="R10" s="173"/>
      <c r="S10" s="177"/>
      <c r="T10" s="173"/>
      <c r="U10" s="173"/>
      <c r="V10" s="174"/>
      <c r="W10" s="173"/>
    </row>
    <row r="11" spans="1:33" ht="18.75" x14ac:dyDescent="0.3">
      <c r="A11" s="174"/>
      <c r="B11" s="179"/>
      <c r="C11" s="178"/>
      <c r="D11" s="177"/>
      <c r="E11" s="177"/>
      <c r="F11" s="177"/>
      <c r="G11" s="177"/>
      <c r="H11" s="176"/>
      <c r="I11" s="175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3"/>
    </row>
    <row r="12" spans="1:33" ht="19.5" thickBot="1" x14ac:dyDescent="0.35">
      <c r="A12" s="174"/>
      <c r="B12" s="178" t="s">
        <v>155</v>
      </c>
      <c r="C12" s="178"/>
      <c r="D12" s="177" t="s">
        <v>64</v>
      </c>
      <c r="E12" s="177"/>
      <c r="F12" s="177">
        <v>306</v>
      </c>
      <c r="G12" s="177"/>
      <c r="H12" s="176"/>
      <c r="I12" s="175"/>
      <c r="J12" s="174"/>
      <c r="K12" s="174"/>
      <c r="L12" s="174"/>
      <c r="M12" s="174"/>
      <c r="N12" s="174"/>
      <c r="O12" s="174"/>
      <c r="P12" s="174"/>
      <c r="Q12" s="319" t="s">
        <v>189</v>
      </c>
      <c r="R12" s="320"/>
      <c r="S12" s="320"/>
      <c r="W12" s="173"/>
    </row>
    <row r="15" spans="1:33" x14ac:dyDescent="0.25">
      <c r="A15" s="148"/>
      <c r="B15" s="148"/>
      <c r="C15" s="148"/>
      <c r="D15" s="148"/>
      <c r="E15" s="148"/>
      <c r="F15" s="148"/>
      <c r="G15" s="172" t="s">
        <v>127</v>
      </c>
      <c r="H15" s="171">
        <v>17697</v>
      </c>
      <c r="I15" s="148"/>
      <c r="J15" s="318"/>
      <c r="K15" s="318"/>
      <c r="L15" s="318"/>
      <c r="M15" s="318"/>
      <c r="N15" s="318"/>
      <c r="O15" s="170"/>
      <c r="P15" s="170"/>
      <c r="Q15" s="170"/>
      <c r="R15" s="169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</row>
    <row r="16" spans="1:33" ht="18" customHeight="1" x14ac:dyDescent="0.25">
      <c r="A16" s="300" t="s">
        <v>126</v>
      </c>
      <c r="B16" s="300" t="s">
        <v>125</v>
      </c>
      <c r="C16" s="300" t="s">
        <v>124</v>
      </c>
      <c r="D16" s="300" t="s">
        <v>123</v>
      </c>
      <c r="E16" s="322" t="s">
        <v>122</v>
      </c>
      <c r="F16" s="322"/>
      <c r="G16" s="303" t="s">
        <v>121</v>
      </c>
      <c r="H16" s="313" t="s">
        <v>120</v>
      </c>
      <c r="I16" s="308" t="s">
        <v>119</v>
      </c>
      <c r="J16" s="300" t="s">
        <v>118</v>
      </c>
      <c r="K16" s="168"/>
      <c r="L16" s="168"/>
      <c r="M16" s="308" t="s">
        <v>117</v>
      </c>
      <c r="N16" s="309"/>
      <c r="O16" s="303" t="s">
        <v>116</v>
      </c>
      <c r="P16" s="168"/>
      <c r="Q16" s="168"/>
      <c r="S16" s="167"/>
      <c r="T16" s="167"/>
      <c r="U16" s="306" t="s">
        <v>115</v>
      </c>
      <c r="V16" s="307"/>
      <c r="W16" s="307"/>
      <c r="X16" s="307"/>
      <c r="Y16" s="307"/>
      <c r="Z16" s="307"/>
      <c r="AA16" s="307"/>
      <c r="AB16" s="307"/>
      <c r="AC16" s="307"/>
      <c r="AD16" s="307"/>
      <c r="AE16" s="307"/>
      <c r="AF16" s="166"/>
      <c r="AG16" s="300" t="s">
        <v>114</v>
      </c>
    </row>
    <row r="17" spans="1:33" s="161" customFormat="1" ht="96.75" customHeight="1" x14ac:dyDescent="0.25">
      <c r="A17" s="300"/>
      <c r="B17" s="300"/>
      <c r="C17" s="300"/>
      <c r="D17" s="300"/>
      <c r="E17" s="300" t="s">
        <v>113</v>
      </c>
      <c r="F17" s="300" t="s">
        <v>112</v>
      </c>
      <c r="G17" s="305"/>
      <c r="H17" s="314"/>
      <c r="I17" s="316"/>
      <c r="J17" s="300"/>
      <c r="K17" s="316" t="s">
        <v>142</v>
      </c>
      <c r="L17" s="317"/>
      <c r="M17" s="310"/>
      <c r="N17" s="311"/>
      <c r="O17" s="305"/>
      <c r="P17" s="316" t="s">
        <v>111</v>
      </c>
      <c r="Q17" s="317"/>
      <c r="R17" s="300" t="s">
        <v>110</v>
      </c>
      <c r="S17" s="300"/>
      <c r="T17" s="312" t="s">
        <v>109</v>
      </c>
      <c r="U17" s="312"/>
      <c r="V17" s="312">
        <v>0.3</v>
      </c>
      <c r="W17" s="312"/>
      <c r="X17" s="312" t="s">
        <v>108</v>
      </c>
      <c r="Y17" s="312"/>
      <c r="Z17" s="312" t="s">
        <v>107</v>
      </c>
      <c r="AA17" s="312"/>
      <c r="AB17" s="300" t="s">
        <v>106</v>
      </c>
      <c r="AC17" s="300"/>
      <c r="AD17" s="301" t="s">
        <v>105</v>
      </c>
      <c r="AE17" s="302"/>
      <c r="AF17" s="303" t="s">
        <v>104</v>
      </c>
      <c r="AG17" s="300"/>
    </row>
    <row r="18" spans="1:33" s="161" customFormat="1" ht="54" customHeight="1" x14ac:dyDescent="0.25">
      <c r="A18" s="300"/>
      <c r="B18" s="300"/>
      <c r="C18" s="300"/>
      <c r="D18" s="300"/>
      <c r="E18" s="300"/>
      <c r="F18" s="300"/>
      <c r="G18" s="304"/>
      <c r="H18" s="315"/>
      <c r="I18" s="310"/>
      <c r="J18" s="300"/>
      <c r="K18" s="310"/>
      <c r="L18" s="311"/>
      <c r="M18" s="165" t="s">
        <v>103</v>
      </c>
      <c r="N18" s="164" t="s">
        <v>101</v>
      </c>
      <c r="O18" s="304"/>
      <c r="P18" s="163"/>
      <c r="Q18" s="163"/>
      <c r="R18" s="162" t="s">
        <v>102</v>
      </c>
      <c r="S18" s="162" t="s">
        <v>98</v>
      </c>
      <c r="T18" s="162" t="s">
        <v>102</v>
      </c>
      <c r="U18" s="162" t="s">
        <v>98</v>
      </c>
      <c r="V18" s="162" t="s">
        <v>102</v>
      </c>
      <c r="W18" s="162" t="s">
        <v>98</v>
      </c>
      <c r="X18" s="162" t="s">
        <v>31</v>
      </c>
      <c r="Y18" s="162" t="s">
        <v>101</v>
      </c>
      <c r="Z18" s="162" t="s">
        <v>100</v>
      </c>
      <c r="AA18" s="162" t="s">
        <v>98</v>
      </c>
      <c r="AB18" s="162" t="s">
        <v>100</v>
      </c>
      <c r="AC18" s="162" t="s">
        <v>98</v>
      </c>
      <c r="AD18" s="162" t="s">
        <v>99</v>
      </c>
      <c r="AE18" s="162" t="s">
        <v>98</v>
      </c>
      <c r="AF18" s="304"/>
      <c r="AG18" s="300"/>
    </row>
    <row r="19" spans="1:33" x14ac:dyDescent="0.25">
      <c r="A19" s="160">
        <v>1</v>
      </c>
      <c r="B19" s="160">
        <v>2</v>
      </c>
      <c r="C19" s="160">
        <v>3</v>
      </c>
      <c r="D19" s="160">
        <v>4</v>
      </c>
      <c r="E19" s="160">
        <v>5</v>
      </c>
      <c r="F19" s="160">
        <v>6</v>
      </c>
      <c r="G19" s="160">
        <v>7</v>
      </c>
      <c r="H19" s="160">
        <v>8</v>
      </c>
      <c r="I19" s="160">
        <v>9</v>
      </c>
      <c r="J19" s="160">
        <v>10</v>
      </c>
      <c r="K19" s="160"/>
      <c r="L19" s="160"/>
      <c r="M19" s="160">
        <v>11</v>
      </c>
      <c r="N19" s="160">
        <v>12</v>
      </c>
      <c r="O19" s="160">
        <v>13</v>
      </c>
      <c r="P19" s="160"/>
      <c r="Q19" s="160"/>
      <c r="R19" s="160">
        <v>14</v>
      </c>
      <c r="S19" s="160">
        <v>15</v>
      </c>
      <c r="T19" s="160">
        <v>16</v>
      </c>
      <c r="U19" s="160">
        <v>17</v>
      </c>
      <c r="V19" s="160">
        <v>18</v>
      </c>
      <c r="W19" s="160">
        <v>19</v>
      </c>
      <c r="X19" s="160">
        <v>20</v>
      </c>
      <c r="Y19" s="160">
        <v>21</v>
      </c>
      <c r="Z19" s="160">
        <v>22</v>
      </c>
      <c r="AA19" s="160">
        <v>23</v>
      </c>
      <c r="AB19" s="160">
        <v>24</v>
      </c>
      <c r="AC19" s="160">
        <v>25</v>
      </c>
      <c r="AD19" s="160"/>
      <c r="AE19" s="160">
        <v>26</v>
      </c>
      <c r="AF19" s="160">
        <v>27</v>
      </c>
      <c r="AG19" s="160">
        <v>28</v>
      </c>
    </row>
    <row r="20" spans="1:33" ht="37.5" x14ac:dyDescent="0.3">
      <c r="A20" s="160">
        <v>1</v>
      </c>
      <c r="B20" s="222" t="s">
        <v>140</v>
      </c>
      <c r="C20" s="158" t="s">
        <v>97</v>
      </c>
      <c r="D20" s="158" t="s">
        <v>93</v>
      </c>
      <c r="E20" s="159" t="s">
        <v>95</v>
      </c>
      <c r="F20" s="158"/>
      <c r="G20" s="189">
        <v>16</v>
      </c>
      <c r="H20" s="191">
        <v>5.59</v>
      </c>
      <c r="I20" s="158">
        <v>0.5</v>
      </c>
      <c r="J20" s="150">
        <f t="shared" ref="J20:J24" si="0">$H$15*H20*I20</f>
        <v>49463.114999999998</v>
      </c>
      <c r="K20" s="150">
        <v>100</v>
      </c>
      <c r="L20" s="150">
        <f t="shared" ref="L20:L24" si="1">(J20*K20)/100</f>
        <v>49463.114999999998</v>
      </c>
      <c r="M20" s="158">
        <v>25</v>
      </c>
      <c r="N20" s="150">
        <f t="shared" ref="N20:N21" si="2">(J20+L20)*25%</f>
        <v>24731.557499999999</v>
      </c>
      <c r="O20" s="150">
        <f t="shared" ref="O20:O23" si="3">J20+L20+N20</f>
        <v>123657.78749999999</v>
      </c>
      <c r="P20" s="150"/>
      <c r="Q20" s="150">
        <f>SUM(O20*P20)/100</f>
        <v>0</v>
      </c>
      <c r="R20" s="158"/>
      <c r="S20" s="158"/>
      <c r="T20" s="158"/>
      <c r="U20" s="158">
        <f>$H$15*0.2*T20</f>
        <v>0</v>
      </c>
      <c r="V20" s="150"/>
      <c r="W20" s="158">
        <f>$H$15*0.3*V20</f>
        <v>0</v>
      </c>
      <c r="X20" s="158"/>
      <c r="Y20" s="158">
        <f>SUM($H$15*X20/100)</f>
        <v>0</v>
      </c>
      <c r="Z20" s="158"/>
      <c r="AA20" s="158">
        <f>SUM($H$15*H20/168*24)/6*Z20</f>
        <v>0</v>
      </c>
      <c r="AB20" s="158"/>
      <c r="AC20" s="158">
        <f>SUM($H$15*H20*I20*0.5/168*8)*AB20</f>
        <v>0</v>
      </c>
      <c r="AD20" s="158">
        <v>0.5</v>
      </c>
      <c r="AE20" s="150"/>
      <c r="AF20" s="153">
        <f t="shared" ref="AF20:AF23" si="4">SUM(Q20,S20,U20,W20,AA20,Y20,AE20,AC20)</f>
        <v>0</v>
      </c>
      <c r="AG20" s="153">
        <f t="shared" ref="AG20:AG23" si="5">SUM(O20+AF20)</f>
        <v>123657.78749999999</v>
      </c>
    </row>
    <row r="21" spans="1:33" ht="37.5" x14ac:dyDescent="0.3">
      <c r="A21" s="160">
        <v>2</v>
      </c>
      <c r="B21" s="222" t="s">
        <v>187</v>
      </c>
      <c r="C21" s="158" t="s">
        <v>96</v>
      </c>
      <c r="D21" s="158" t="s">
        <v>93</v>
      </c>
      <c r="E21" s="159" t="s">
        <v>95</v>
      </c>
      <c r="F21" s="158"/>
      <c r="G21" s="189">
        <v>24.05</v>
      </c>
      <c r="H21" s="191">
        <v>5.74</v>
      </c>
      <c r="I21" s="158">
        <v>0.5</v>
      </c>
      <c r="J21" s="150">
        <f t="shared" si="0"/>
        <v>50790.39</v>
      </c>
      <c r="K21" s="150">
        <v>100</v>
      </c>
      <c r="L21" s="150">
        <f t="shared" si="1"/>
        <v>50790.39</v>
      </c>
      <c r="M21" s="158">
        <v>25</v>
      </c>
      <c r="N21" s="150">
        <f t="shared" si="2"/>
        <v>25395.195</v>
      </c>
      <c r="O21" s="150">
        <f t="shared" si="3"/>
        <v>126975.97500000001</v>
      </c>
      <c r="P21" s="150"/>
      <c r="Q21" s="150"/>
      <c r="R21" s="158"/>
      <c r="S21" s="158">
        <f>SUM($H$15*0.2)*R21</f>
        <v>0</v>
      </c>
      <c r="T21" s="158"/>
      <c r="U21" s="158">
        <f>$H$15*0.2*T21</f>
        <v>0</v>
      </c>
      <c r="V21" s="150"/>
      <c r="W21" s="158">
        <f>$H$15*0.3*V21</f>
        <v>0</v>
      </c>
      <c r="X21" s="158"/>
      <c r="Y21" s="158">
        <f>SUM($H$15*X21/100)</f>
        <v>0</v>
      </c>
      <c r="Z21" s="158"/>
      <c r="AA21" s="158">
        <f>SUM($H$15*H21/168*24)/6*Z21</f>
        <v>0</v>
      </c>
      <c r="AB21" s="158"/>
      <c r="AC21" s="158">
        <f>SUM($H$15*H21*I21*0.5/168*8)*AB21</f>
        <v>0</v>
      </c>
      <c r="AD21" s="158">
        <v>0.5</v>
      </c>
      <c r="AE21" s="150"/>
      <c r="AF21" s="153">
        <f t="shared" si="4"/>
        <v>0</v>
      </c>
      <c r="AG21" s="153">
        <f t="shared" si="5"/>
        <v>126975.97500000001</v>
      </c>
    </row>
    <row r="22" spans="1:33" ht="18.75" x14ac:dyDescent="0.3">
      <c r="A22" s="221">
        <v>3</v>
      </c>
      <c r="B22" s="223" t="s">
        <v>179</v>
      </c>
      <c r="C22" s="117" t="s">
        <v>156</v>
      </c>
      <c r="D22" s="117" t="s">
        <v>10</v>
      </c>
      <c r="E22" s="188" t="s">
        <v>23</v>
      </c>
      <c r="F22" s="117"/>
      <c r="G22" s="190" t="s">
        <v>151</v>
      </c>
      <c r="H22" s="192">
        <v>4.0999999999999996</v>
      </c>
      <c r="I22" s="117">
        <v>1</v>
      </c>
      <c r="J22" s="186">
        <f t="shared" ref="J22" si="6">$H$15*H22*I22</f>
        <v>72557.7</v>
      </c>
      <c r="K22" s="150">
        <v>100</v>
      </c>
      <c r="L22" s="150">
        <f t="shared" ref="L22" si="7">(J22*K22)/100</f>
        <v>72557.7</v>
      </c>
      <c r="M22" s="117">
        <v>25</v>
      </c>
      <c r="N22" s="187">
        <f t="shared" ref="N22" si="8">(J22+L22)*25%</f>
        <v>36278.85</v>
      </c>
      <c r="O22" s="187">
        <f t="shared" ref="O22" si="9">J22+L22+N22</f>
        <v>181394.25</v>
      </c>
      <c r="P22" s="187"/>
      <c r="Q22" s="187"/>
      <c r="R22" s="117"/>
      <c r="S22" s="117"/>
      <c r="T22" s="117"/>
      <c r="U22" s="117"/>
      <c r="V22" s="187"/>
      <c r="W22" s="117"/>
      <c r="X22" s="117"/>
      <c r="Y22" s="117"/>
      <c r="Z22" s="117"/>
      <c r="AA22" s="117">
        <f t="shared" ref="AA22" si="10">SUM($H$15*H22/168*24)/6*Z22</f>
        <v>0</v>
      </c>
      <c r="AB22" s="117"/>
      <c r="AC22" s="117">
        <f t="shared" ref="AC22" si="11">SUM($H$15*H22*I22*0.5/168*8)*AB22</f>
        <v>0</v>
      </c>
      <c r="AD22" s="117">
        <v>1</v>
      </c>
      <c r="AE22" s="187">
        <f t="shared" ref="AE22" si="12">O22*10%</f>
        <v>18139.424999999999</v>
      </c>
      <c r="AF22" s="153">
        <f t="shared" ref="AF22" si="13">SUM(Q22,S22,U22,W22,AA22,Y22,AE22,AC22)</f>
        <v>18139.424999999999</v>
      </c>
      <c r="AG22" s="153">
        <f t="shared" ref="AG22" si="14">SUM(O22+AF22)</f>
        <v>199533.67499999999</v>
      </c>
    </row>
    <row r="23" spans="1:33" ht="18.75" x14ac:dyDescent="0.25">
      <c r="A23" s="160">
        <v>4</v>
      </c>
      <c r="B23" s="205" t="s">
        <v>188</v>
      </c>
      <c r="C23" s="158" t="s">
        <v>94</v>
      </c>
      <c r="D23" s="158" t="s">
        <v>93</v>
      </c>
      <c r="E23" s="159" t="s">
        <v>92</v>
      </c>
      <c r="F23" s="158"/>
      <c r="G23" s="189">
        <v>3</v>
      </c>
      <c r="H23" s="191">
        <v>2.98</v>
      </c>
      <c r="I23" s="158">
        <v>1</v>
      </c>
      <c r="J23" s="153">
        <f t="shared" si="0"/>
        <v>52737.06</v>
      </c>
      <c r="K23" s="153">
        <v>71</v>
      </c>
      <c r="L23" s="150">
        <f t="shared" si="1"/>
        <v>37443.312599999997</v>
      </c>
      <c r="M23" s="158"/>
      <c r="N23" s="153">
        <f t="shared" ref="N23" si="15">SUM(J23*M23)/100</f>
        <v>0</v>
      </c>
      <c r="O23" s="150">
        <f t="shared" si="3"/>
        <v>90180.372600000002</v>
      </c>
      <c r="P23" s="150"/>
      <c r="Q23" s="150"/>
      <c r="R23" s="158"/>
      <c r="S23" s="158">
        <f>SUM($H$15*0.2)*R23</f>
        <v>0</v>
      </c>
      <c r="T23" s="158"/>
      <c r="U23" s="158">
        <f>$H$15*0.2*T23</f>
        <v>0</v>
      </c>
      <c r="V23" s="150"/>
      <c r="W23" s="158">
        <f>$H$15*0.3*V23</f>
        <v>0</v>
      </c>
      <c r="X23" s="158"/>
      <c r="Y23" s="159">
        <f>SUM($H$15*X23/100)</f>
        <v>0</v>
      </c>
      <c r="Z23" s="158"/>
      <c r="AA23" s="117">
        <f t="shared" ref="AA23" si="16">SUM($H$15*H23/168*24)/6*Z23</f>
        <v>0</v>
      </c>
      <c r="AB23" s="158"/>
      <c r="AC23" s="158">
        <f t="shared" ref="AC23" si="17">SUM($H$15*H23*I23*0.5/168*8)*AB23</f>
        <v>0</v>
      </c>
      <c r="AD23" s="158">
        <v>1</v>
      </c>
      <c r="AE23" s="150">
        <f t="shared" ref="AE23" si="18">SUM((J23/I23*AD23)*0.1)</f>
        <v>5273.7060000000001</v>
      </c>
      <c r="AF23" s="153">
        <f t="shared" si="4"/>
        <v>5273.7060000000001</v>
      </c>
      <c r="AG23" s="153">
        <f t="shared" si="5"/>
        <v>95454.078600000008</v>
      </c>
    </row>
    <row r="24" spans="1:33" ht="33" customHeight="1" x14ac:dyDescent="0.25">
      <c r="A24" s="204">
        <v>5</v>
      </c>
      <c r="B24" s="225" t="s">
        <v>178</v>
      </c>
      <c r="C24" s="154" t="s">
        <v>157</v>
      </c>
      <c r="D24" s="158" t="s">
        <v>93</v>
      </c>
      <c r="E24" s="157" t="s">
        <v>152</v>
      </c>
      <c r="F24" s="154"/>
      <c r="G24" s="156" t="s">
        <v>151</v>
      </c>
      <c r="H24" s="155">
        <v>2.0499999999999998</v>
      </c>
      <c r="I24" s="119">
        <v>1</v>
      </c>
      <c r="J24" s="186">
        <f t="shared" si="0"/>
        <v>36278.85</v>
      </c>
      <c r="K24" s="153">
        <v>71</v>
      </c>
      <c r="L24" s="150">
        <f t="shared" si="1"/>
        <v>25757.983500000002</v>
      </c>
      <c r="M24" s="154">
        <v>25</v>
      </c>
      <c r="N24" s="186">
        <f t="shared" ref="N24" si="19">SUM(J24*M24)/100</f>
        <v>9069.7124999999996</v>
      </c>
      <c r="O24" s="187">
        <f t="shared" ref="O24" si="20">J24+L24+N24</f>
        <v>71106.546000000002</v>
      </c>
      <c r="P24" s="187"/>
      <c r="Q24" s="153"/>
      <c r="R24" s="154">
        <v>1</v>
      </c>
      <c r="S24" s="154">
        <v>3539</v>
      </c>
      <c r="T24" s="154"/>
      <c r="U24" s="154"/>
      <c r="V24" s="153"/>
      <c r="W24" s="154"/>
      <c r="X24" s="154"/>
      <c r="Y24" s="159"/>
      <c r="Z24" s="154"/>
      <c r="AA24" s="117">
        <f t="shared" ref="AA24" si="21">SUM($H$15*H24/168*24)/6*Z24</f>
        <v>0</v>
      </c>
      <c r="AB24" s="154"/>
      <c r="AC24" s="154"/>
      <c r="AD24" s="119">
        <v>1</v>
      </c>
      <c r="AE24" s="186">
        <f t="shared" ref="AE24" si="22">SUM((J24/I24*AD24)*0.1)</f>
        <v>3627.8850000000002</v>
      </c>
      <c r="AF24" s="153">
        <f t="shared" ref="AF24" si="23">SUM(Q24,S24,U24,W24,AA24,Y24,AE24,AC24)</f>
        <v>7166.8850000000002</v>
      </c>
      <c r="AG24" s="153">
        <f t="shared" ref="AG24" si="24">SUM(O24+AF24)</f>
        <v>78273.430999999997</v>
      </c>
    </row>
    <row r="25" spans="1:33" ht="18.75" x14ac:dyDescent="0.25">
      <c r="A25" s="204">
        <v>6</v>
      </c>
      <c r="B25" s="227" t="s">
        <v>183</v>
      </c>
      <c r="C25" s="154" t="s">
        <v>150</v>
      </c>
      <c r="D25" s="154" t="s">
        <v>10</v>
      </c>
      <c r="E25" s="157" t="s">
        <v>92</v>
      </c>
      <c r="F25" s="154"/>
      <c r="G25" s="156" t="s">
        <v>151</v>
      </c>
      <c r="H25" s="155">
        <v>2.95</v>
      </c>
      <c r="I25" s="119">
        <v>1</v>
      </c>
      <c r="J25" s="186">
        <f t="shared" ref="J25" si="25">$H$15*H25*I25</f>
        <v>52206.15</v>
      </c>
      <c r="K25" s="153">
        <v>71</v>
      </c>
      <c r="L25" s="150">
        <f t="shared" ref="L25" si="26">(J25*K25)/100</f>
        <v>37066.366499999996</v>
      </c>
      <c r="M25" s="154"/>
      <c r="N25" s="186">
        <f t="shared" ref="N25" si="27">SUM(J25*M25)/100</f>
        <v>0</v>
      </c>
      <c r="O25" s="187">
        <f t="shared" ref="O25" si="28">J25+L25+N25</f>
        <v>89272.516499999998</v>
      </c>
      <c r="P25" s="187"/>
      <c r="Q25" s="153"/>
      <c r="R25" s="154"/>
      <c r="S25" s="154"/>
      <c r="T25" s="154"/>
      <c r="U25" s="154"/>
      <c r="V25" s="153"/>
      <c r="W25" s="154"/>
      <c r="X25" s="154"/>
      <c r="Y25" s="159"/>
      <c r="Z25" s="154"/>
      <c r="AA25" s="117">
        <f t="shared" ref="AA25" si="29">SUM($H$15*H25/168*24)/6*Z25</f>
        <v>0</v>
      </c>
      <c r="AB25" s="154"/>
      <c r="AC25" s="154"/>
      <c r="AD25" s="119">
        <v>1</v>
      </c>
      <c r="AE25" s="186">
        <f t="shared" ref="AE25" si="30">SUM((J25/I25*AD25)*0.1)</f>
        <v>5220.6150000000007</v>
      </c>
      <c r="AF25" s="153">
        <f t="shared" ref="AF25" si="31">SUM(Q25,S25,U25,W25,AA25,Y25,AE25,AC25)</f>
        <v>5220.6150000000007</v>
      </c>
      <c r="AG25" s="153">
        <f t="shared" ref="AG25" si="32">SUM(O25+AF25)</f>
        <v>94493.131500000003</v>
      </c>
    </row>
    <row r="26" spans="1:33" x14ac:dyDescent="0.25">
      <c r="A26" s="151"/>
      <c r="B26" s="152" t="s">
        <v>91</v>
      </c>
      <c r="C26" s="151"/>
      <c r="D26" s="151"/>
      <c r="E26" s="151"/>
      <c r="F26" s="151"/>
      <c r="G26" s="151"/>
      <c r="H26" s="151"/>
      <c r="I26" s="209">
        <f t="shared" ref="I26:AG26" si="33">SUM(I20:I25)</f>
        <v>5</v>
      </c>
      <c r="J26" s="209">
        <f t="shared" si="33"/>
        <v>314033.26500000001</v>
      </c>
      <c r="K26" s="209">
        <f t="shared" si="33"/>
        <v>513</v>
      </c>
      <c r="L26" s="209">
        <f t="shared" si="33"/>
        <v>273078.8676</v>
      </c>
      <c r="M26" s="209">
        <f t="shared" si="33"/>
        <v>100</v>
      </c>
      <c r="N26" s="209">
        <f t="shared" si="33"/>
        <v>95475.315000000002</v>
      </c>
      <c r="O26" s="209">
        <f t="shared" si="33"/>
        <v>682587.44760000007</v>
      </c>
      <c r="P26" s="209">
        <f t="shared" si="33"/>
        <v>0</v>
      </c>
      <c r="Q26" s="209">
        <f t="shared" si="33"/>
        <v>0</v>
      </c>
      <c r="R26" s="209">
        <f t="shared" si="33"/>
        <v>1</v>
      </c>
      <c r="S26" s="209">
        <f t="shared" si="33"/>
        <v>3539</v>
      </c>
      <c r="T26" s="209">
        <f t="shared" si="33"/>
        <v>0</v>
      </c>
      <c r="U26" s="209">
        <f t="shared" si="33"/>
        <v>0</v>
      </c>
      <c r="V26" s="209">
        <f t="shared" si="33"/>
        <v>0</v>
      </c>
      <c r="W26" s="209">
        <f t="shared" si="33"/>
        <v>0</v>
      </c>
      <c r="X26" s="209">
        <f t="shared" si="33"/>
        <v>0</v>
      </c>
      <c r="Y26" s="209">
        <f t="shared" si="33"/>
        <v>0</v>
      </c>
      <c r="Z26" s="209">
        <f t="shared" si="33"/>
        <v>0</v>
      </c>
      <c r="AA26" s="209">
        <f t="shared" si="33"/>
        <v>0</v>
      </c>
      <c r="AB26" s="209">
        <f t="shared" si="33"/>
        <v>0</v>
      </c>
      <c r="AC26" s="209">
        <f t="shared" si="33"/>
        <v>0</v>
      </c>
      <c r="AD26" s="209">
        <f t="shared" si="33"/>
        <v>5</v>
      </c>
      <c r="AE26" s="209">
        <f t="shared" si="33"/>
        <v>32261.631000000005</v>
      </c>
      <c r="AF26" s="209">
        <f t="shared" si="33"/>
        <v>35800.631000000001</v>
      </c>
      <c r="AG26" s="209">
        <f t="shared" si="33"/>
        <v>718388.07860000001</v>
      </c>
    </row>
    <row r="27" spans="1:33" x14ac:dyDescent="0.25">
      <c r="A27" s="148"/>
      <c r="B27" s="148"/>
      <c r="C27" s="148"/>
      <c r="D27" s="148"/>
      <c r="E27" s="148"/>
      <c r="F27" s="148"/>
      <c r="G27" s="148"/>
      <c r="H27" s="149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</row>
    <row r="28" spans="1:33" ht="23.25" customHeight="1" x14ac:dyDescent="0.25">
      <c r="A28" s="144"/>
      <c r="B28" s="144"/>
      <c r="C28" s="145" t="s">
        <v>158</v>
      </c>
      <c r="D28" s="145"/>
      <c r="E28" s="145"/>
      <c r="F28" s="145" t="s">
        <v>169</v>
      </c>
      <c r="G28" s="145"/>
      <c r="H28" s="146"/>
      <c r="I28" s="145"/>
      <c r="J28" s="145"/>
      <c r="K28" s="145" t="s">
        <v>164</v>
      </c>
      <c r="L28" s="145"/>
      <c r="M28" s="145" t="s">
        <v>165</v>
      </c>
      <c r="N28" s="145"/>
      <c r="O28" s="145"/>
      <c r="P28" s="145" t="s">
        <v>162</v>
      </c>
      <c r="Q28" s="145"/>
      <c r="R28" s="145"/>
      <c r="S28" s="207" t="s">
        <v>163</v>
      </c>
      <c r="T28" s="145"/>
      <c r="U28" s="145"/>
      <c r="V28" s="144"/>
      <c r="W28" s="145"/>
      <c r="X28" s="145"/>
      <c r="Y28" s="145"/>
      <c r="Z28" s="145"/>
      <c r="AA28" s="145"/>
      <c r="AB28" s="144"/>
      <c r="AC28" s="144"/>
      <c r="AD28" s="144"/>
      <c r="AE28" s="144"/>
      <c r="AF28" s="144"/>
      <c r="AG28" s="147"/>
    </row>
    <row r="29" spans="1:33" ht="26.25" customHeight="1" x14ac:dyDescent="0.25">
      <c r="A29" s="144"/>
      <c r="B29" s="144"/>
      <c r="C29" s="145" t="s">
        <v>159</v>
      </c>
      <c r="D29" s="145"/>
      <c r="E29" s="145"/>
      <c r="F29" s="207" t="s">
        <v>160</v>
      </c>
      <c r="G29" s="207"/>
      <c r="H29" s="146"/>
      <c r="I29" s="145"/>
      <c r="J29" s="145"/>
      <c r="K29" s="145" t="s">
        <v>161</v>
      </c>
      <c r="L29" s="145"/>
      <c r="M29" s="145" t="s">
        <v>166</v>
      </c>
      <c r="N29" s="145"/>
      <c r="O29" s="145"/>
      <c r="P29" s="145"/>
      <c r="Q29" s="145"/>
      <c r="R29" s="145"/>
      <c r="S29" s="144"/>
      <c r="T29" s="145"/>
      <c r="U29" s="145"/>
      <c r="V29" s="144"/>
      <c r="W29" s="145"/>
      <c r="X29" s="145"/>
      <c r="Y29" s="145"/>
      <c r="Z29" s="145"/>
      <c r="AA29" s="145"/>
      <c r="AB29" s="144"/>
      <c r="AC29" s="144"/>
      <c r="AD29" s="144"/>
      <c r="AE29" s="144"/>
      <c r="AF29" s="144"/>
      <c r="AG29" s="144"/>
    </row>
    <row r="30" spans="1:33" ht="25.5" customHeight="1" x14ac:dyDescent="0.25">
      <c r="A30" s="144"/>
      <c r="B30" s="144"/>
      <c r="D30" s="145"/>
      <c r="E30" s="145"/>
      <c r="G30" s="145"/>
      <c r="H30" s="146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4"/>
      <c r="T30" s="145"/>
      <c r="U30" s="145"/>
      <c r="V30" s="144"/>
      <c r="W30" s="145"/>
      <c r="X30" s="145"/>
      <c r="Y30" s="145"/>
      <c r="Z30" s="145"/>
      <c r="AA30" s="145"/>
      <c r="AB30" s="144"/>
      <c r="AC30" s="144"/>
      <c r="AD30" s="144"/>
      <c r="AE30" s="144"/>
      <c r="AF30" s="144"/>
      <c r="AG30" s="144"/>
    </row>
    <row r="31" spans="1:33" ht="27" customHeight="1" x14ac:dyDescent="0.25">
      <c r="A31" s="144"/>
      <c r="B31" s="144"/>
      <c r="D31" s="145"/>
      <c r="E31" s="145"/>
      <c r="G31" s="207"/>
      <c r="H31" s="146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4"/>
      <c r="T31" s="299"/>
      <c r="U31" s="299"/>
      <c r="V31" s="144"/>
      <c r="W31" s="145"/>
      <c r="X31" s="145"/>
      <c r="Y31" s="145"/>
      <c r="Z31" s="145"/>
      <c r="AA31" s="145"/>
      <c r="AB31" s="144"/>
      <c r="AC31" s="144"/>
      <c r="AD31" s="144"/>
      <c r="AE31" s="144"/>
      <c r="AF31" s="144"/>
      <c r="AG31" s="144"/>
    </row>
    <row r="32" spans="1:33" x14ac:dyDescent="0.25">
      <c r="A32" s="142"/>
      <c r="B32" s="142"/>
      <c r="C32" s="142"/>
      <c r="D32" s="142"/>
      <c r="E32" s="142"/>
      <c r="F32" s="142"/>
      <c r="G32" s="142"/>
      <c r="H32" s="143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</row>
    <row r="33" spans="1:33" x14ac:dyDescent="0.25">
      <c r="A33" s="142"/>
      <c r="B33" s="142"/>
      <c r="C33" s="142"/>
      <c r="D33" s="142"/>
      <c r="E33" s="142"/>
      <c r="F33" s="142"/>
      <c r="G33" s="142"/>
      <c r="H33" s="143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</row>
    <row r="34" spans="1:33" x14ac:dyDescent="0.25">
      <c r="A34" s="142"/>
      <c r="B34" s="142"/>
      <c r="C34" s="142"/>
      <c r="D34" s="142"/>
      <c r="E34" s="142"/>
      <c r="F34" s="142"/>
      <c r="G34" s="142"/>
      <c r="H34" s="143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</row>
    <row r="35" spans="1:33" x14ac:dyDescent="0.25">
      <c r="A35" s="142"/>
      <c r="B35" s="142"/>
      <c r="C35" s="142"/>
      <c r="D35" s="142"/>
      <c r="E35" s="142"/>
      <c r="F35" s="142"/>
      <c r="G35" s="142"/>
      <c r="H35" s="143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</row>
    <row r="36" spans="1:33" x14ac:dyDescent="0.25">
      <c r="A36" s="142"/>
      <c r="B36" s="142"/>
      <c r="C36" s="142"/>
      <c r="D36" s="142"/>
      <c r="E36" s="142"/>
      <c r="F36" s="142"/>
      <c r="G36" s="142"/>
      <c r="H36" s="143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</row>
    <row r="37" spans="1:33" x14ac:dyDescent="0.25">
      <c r="A37" s="142"/>
      <c r="B37" s="142"/>
      <c r="C37" s="142"/>
      <c r="D37" s="142"/>
      <c r="E37" s="142"/>
      <c r="F37" s="142"/>
      <c r="G37" s="142"/>
      <c r="H37" s="143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</row>
  </sheetData>
  <mergeCells count="31">
    <mergeCell ref="A16:A18"/>
    <mergeCell ref="B16:B18"/>
    <mergeCell ref="C16:C18"/>
    <mergeCell ref="D16:D18"/>
    <mergeCell ref="E16:F16"/>
    <mergeCell ref="E17:E18"/>
    <mergeCell ref="F17:F18"/>
    <mergeCell ref="J15:N15"/>
    <mergeCell ref="E3:M3"/>
    <mergeCell ref="Q12:S12"/>
    <mergeCell ref="Q3:S3"/>
    <mergeCell ref="B1:C8"/>
    <mergeCell ref="G16:G18"/>
    <mergeCell ref="U16:AE16"/>
    <mergeCell ref="M16:N17"/>
    <mergeCell ref="O16:O18"/>
    <mergeCell ref="X17:Y17"/>
    <mergeCell ref="H16:H18"/>
    <mergeCell ref="I16:I18"/>
    <mergeCell ref="J16:J18"/>
    <mergeCell ref="K17:L18"/>
    <mergeCell ref="P17:Q17"/>
    <mergeCell ref="R17:S17"/>
    <mergeCell ref="T17:U17"/>
    <mergeCell ref="V17:W17"/>
    <mergeCell ref="Z17:AA17"/>
    <mergeCell ref="T31:U31"/>
    <mergeCell ref="AG16:AG18"/>
    <mergeCell ref="AB17:AC17"/>
    <mergeCell ref="AD17:AE17"/>
    <mergeCell ref="AF17:AF18"/>
  </mergeCells>
  <phoneticPr fontId="20" type="noConversion"/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Тариф 01.10.2024г.</vt:lpstr>
      <vt:lpstr>Штат</vt:lpstr>
      <vt:lpstr>'Тариф 01.10.2024г.'!Область_печати</vt:lpstr>
      <vt:lpstr>Штат!Область_печати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student</cp:lastModifiedBy>
  <cp:lastPrinted>2024-10-10T03:44:09Z</cp:lastPrinted>
  <dcterms:created xsi:type="dcterms:W3CDTF">2014-03-18T18:18:42Z</dcterms:created>
  <dcterms:modified xsi:type="dcterms:W3CDTF">2024-11-08T08:01:58Z</dcterms:modified>
</cp:coreProperties>
</file>